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30" windowHeight="10080" activeTab="0"/>
  </bookViews>
  <sheets>
    <sheet name="общие сведения" sheetId="1" r:id="rId1"/>
    <sheet name="ЭЗ" sheetId="2" r:id="rId2"/>
  </sheets>
  <definedNames>
    <definedName name="_72ч">'общие сведения'!$A$141</definedName>
    <definedName name="_ftn1" localSheetId="1">'ЭЗ'!#REF!</definedName>
    <definedName name="_ftn2" localSheetId="1">'ЭЗ'!$A$205</definedName>
    <definedName name="_ftnref1" localSheetId="1">'ЭЗ'!$B$124</definedName>
    <definedName name="_ftnref2" localSheetId="1">'ЭЗ'!$B$144</definedName>
    <definedName name="_дпо">'общие сведения'!$A$145</definedName>
    <definedName name="_рек3">'общие сведения'!$A$147</definedName>
    <definedName name="proverka">'ЭЗ'!$B$295</definedName>
    <definedName name="Всего">'ЭЗ'!$H$246</definedName>
    <definedName name="вывод1">'общие сведения'!$F$49</definedName>
    <definedName name="_xlnm.Print_Area" localSheetId="0">'общие сведения'!$A$3:$J$78</definedName>
    <definedName name="_xlnm.Print_Area" localSheetId="1">'ЭЗ'!$A$2:$I$277</definedName>
    <definedName name="рез_2">'общие сведения'!$A$61</definedName>
    <definedName name="рез_3">'общие сведения'!$A$62</definedName>
    <definedName name="рек_общ">'общие сведения'!$L$142</definedName>
    <definedName name="рек2">'общие сведения'!$I$56</definedName>
    <definedName name="рек3">'общие сведения'!$I$58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0"/>
          </rPr>
          <t xml:space="preserve">Наименование образовательного учреждения
</t>
        </r>
        <r>
          <rPr>
            <sz val="9"/>
            <rFont val="Tahoma"/>
            <family val="2"/>
          </rPr>
          <t xml:space="preserve">(для редактирования текста - двойной щелчок левой кнопкой мыши по ячейке) </t>
        </r>
      </text>
    </comment>
    <comment ref="B4" authorId="0">
      <text>
        <r>
          <rPr>
            <b/>
            <sz val="9"/>
            <rFont val="Tahoma"/>
            <family val="0"/>
          </rPr>
          <t>Укажите 
номер 
зонального объединения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0"/>
          </rPr>
          <t>проверка на правильность определения должности</t>
        </r>
      </text>
    </comment>
    <comment ref="I148" authorId="0">
      <text>
        <r>
          <rPr>
            <b/>
            <sz val="9"/>
            <rFont val="Tahoma"/>
            <family val="0"/>
          </rPr>
          <t>данный показатель определяется на основании приложения №4</t>
        </r>
      </text>
    </comment>
  </commentList>
</comments>
</file>

<file path=xl/sharedStrings.xml><?xml version="1.0" encoding="utf-8"?>
<sst xmlns="http://schemas.openxmlformats.org/spreadsheetml/2006/main" count="680" uniqueCount="483">
  <si>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</si>
  <si>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</si>
  <si>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</si>
  <si>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</si>
  <si>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</si>
  <si>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</si>
  <si>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</si>
  <si>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</si>
  <si>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</si>
  <si>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</si>
  <si>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</si>
  <si>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</si>
  <si>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</si>
  <si>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</si>
  <si>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</si>
  <si>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</si>
  <si>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</si>
  <si>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</si>
  <si>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</si>
  <si>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</si>
  <si>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</si>
  <si>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</si>
  <si>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</si>
  <si>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</si>
  <si>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 xml:space="preserve"> 10-30</t>
  </si>
  <si>
    <t>30-50</t>
  </si>
  <si>
    <t>70-100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</si>
  <si>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</si>
  <si>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</si>
  <si>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</si>
  <si>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</si>
  <si>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</si>
  <si>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</si>
  <si>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</si>
  <si>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</si>
  <si>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</si>
  <si>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</si>
  <si>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</si>
  <si>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</si>
  <si>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</si>
  <si>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10-30</t>
  </si>
  <si>
    <t>Опыт представлен на собственных странице/ блоге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</si>
  <si>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</si>
  <si>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</si>
  <si>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</si>
  <si>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</si>
  <si>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</si>
  <si>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</si>
  <si>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</si>
  <si>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</si>
  <si>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</si>
  <si>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</si>
  <si>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</si>
  <si>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</si>
  <si>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</si>
  <si>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</si>
  <si>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</si>
  <si>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</si>
  <si>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</si>
  <si>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</si>
  <si>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</si>
  <si>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</si>
  <si>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</si>
  <si>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</si>
  <si>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</si>
  <si>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</si>
  <si>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</si>
  <si>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</si>
  <si>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</si>
  <si>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</si>
  <si>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</si>
  <si>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</si>
  <si>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</si>
  <si>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</si>
  <si>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</si>
  <si>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</si>
  <si>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</si>
  <si>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</si>
  <si>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</si>
  <si>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</si>
  <si>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</si>
  <si>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</si>
  <si>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</si>
  <si>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</si>
  <si>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</si>
  <si>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</si>
  <si>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</si>
  <si>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</si>
  <si>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</si>
  <si>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</si>
  <si>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</si>
  <si>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</si>
  <si>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</si>
  <si>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</si>
  <si>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</si>
  <si>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</si>
  <si>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</si>
  <si>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</si>
  <si>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</si>
  <si>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</si>
  <si>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</si>
  <si>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</si>
  <si>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</si>
  <si>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</si>
  <si>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</si>
  <si>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</si>
  <si>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</si>
  <si>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</si>
  <si>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</si>
  <si>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</si>
  <si>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</si>
  <si>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</si>
  <si>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</si>
  <si>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</si>
  <si>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</si>
  <si>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</si>
  <si>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</si>
  <si>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</si>
  <si>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</si>
  <si>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</si>
  <si>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</si>
  <si>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</si>
  <si>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</si>
  <si>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</si>
  <si>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</si>
  <si>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</si>
  <si>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</si>
  <si>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</si>
  <si>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</si>
  <si>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</si>
  <si>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</si>
  <si>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</si>
  <si>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</si>
  <si>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</si>
  <si>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</si>
  <si>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</si>
  <si>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</si>
  <si>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</si>
  <si>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</si>
  <si>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</si>
  <si>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</si>
  <si>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</si>
  <si>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</si>
  <si>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</si>
  <si>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</si>
  <si>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</si>
  <si>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</si>
  <si>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</si>
  <si>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Региональн.</t>
  </si>
  <si>
    <t>Федерал.и</t>
  </si>
  <si>
    <t>междунар.</t>
  </si>
  <si>
    <t>2.1.2.</t>
  </si>
  <si>
    <t>Федеральн.</t>
  </si>
  <si>
    <t>2.1.3.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</si>
  <si>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</si>
  <si>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</si>
  <si>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</si>
  <si>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</si>
  <si>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</si>
  <si>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</si>
  <si>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</si>
  <si>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</si>
  <si>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</si>
  <si>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</si>
  <si>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</si>
  <si>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</si>
  <si>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</si>
  <si>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</si>
  <si>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</si>
  <si>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</si>
  <si>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</si>
  <si>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</si>
  <si>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</si>
  <si>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</si>
  <si>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</si>
  <si>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</si>
  <si>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</si>
  <si>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</si>
  <si>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</si>
  <si>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</si>
  <si>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</si>
  <si>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</si>
  <si>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</si>
  <si>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</si>
  <si>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</si>
  <si>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</si>
  <si>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</si>
  <si>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</si>
  <si>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</si>
  <si>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</si>
  <si>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</si>
  <si>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</si>
  <si>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</si>
  <si>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</si>
  <si>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</si>
  <si>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3.1.</t>
  </si>
  <si>
    <t>Не 
участвует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</si>
  <si>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</si>
  <si>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</si>
  <si>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</si>
  <si>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</si>
  <si>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</si>
  <si>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</si>
  <si>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</si>
  <si>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</si>
  <si>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</si>
  <si>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</si>
  <si>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</si>
  <si>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</si>
  <si>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</si>
  <si>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</si>
  <si>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</si>
  <si>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</si>
  <si>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</si>
  <si>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</si>
  <si>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</si>
  <si>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</si>
  <si>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</si>
  <si>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</si>
  <si>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</si>
  <si>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</si>
  <si>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</si>
  <si>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</si>
  <si>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</si>
  <si>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</si>
  <si>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</si>
  <si>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</si>
  <si>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</si>
  <si>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</si>
  <si>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</si>
  <si>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</si>
  <si>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</si>
  <si>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</si>
  <si>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</si>
  <si>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</si>
  <si>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</si>
  <si>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</si>
  <si>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</si>
  <si>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участие - 50б.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</si>
  <si>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</si>
  <si>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</si>
  <si>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</si>
  <si>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</si>
  <si>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</si>
  <si>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</si>
  <si>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 xml:space="preserve"> 20-50</t>
  </si>
  <si>
    <t xml:space="preserve">
Программа 
ВПО/ ПП/СТ освоена полностью
</t>
  </si>
  <si>
    <t>и выше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</si>
  <si>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</si>
  <si>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3-7 выст- 20б.</t>
  </si>
  <si>
    <t>1-2 выст- 10б.</t>
  </si>
  <si>
    <t>1-2 выст- 30б.</t>
  </si>
  <si>
    <t>3-7выст-  40б.</t>
  </si>
  <si>
    <t xml:space="preserve">Не 
обучается
</t>
  </si>
  <si>
    <t>Не 
обучается</t>
  </si>
  <si>
    <t>Грамоты, дипломы, выписки из приказов</t>
  </si>
  <si>
    <t>1 конкурс- 30б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</si>
  <si>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</si>
  <si>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</si>
  <si>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</si>
  <si>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</si>
  <si>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</si>
  <si>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>нет</t>
  </si>
  <si>
    <t>Опыт представлен на различных профессио- нальных сайтах</t>
  </si>
  <si>
    <t>Опыт 
не 
представ- лен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</si>
  <si>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</si>
  <si>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</si>
  <si>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>активно распространяют собственный опыт в области повышения качества образования и воспитания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</si>
  <si>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</si>
  <si>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t>победитель / призер</t>
  </si>
  <si>
    <t xml:space="preserve">1-5 чел. - 20б.
6 и более - 30б.
Участие - 10б.
</t>
  </si>
  <si>
    <t xml:space="preserve">1-2 чел. - 30б.
3-7 чел. - 40 б
8 и более - 50б.
Участие - 20б.
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</si>
  <si>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</si>
  <si>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</si>
  <si>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</si>
  <si>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</si>
  <si>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</si>
  <si>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</si>
  <si>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</si>
  <si>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</si>
  <si>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</si>
  <si>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</si>
  <si>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</si>
  <si>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</si>
  <si>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</si>
  <si>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</si>
  <si>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</si>
  <si>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</si>
  <si>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</si>
  <si>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</si>
  <si>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</si>
  <si>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</si>
  <si>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</si>
  <si>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</si>
  <si>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</si>
  <si>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</si>
  <si>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</si>
  <si>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</si>
  <si>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</si>
  <si>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</si>
  <si>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</si>
  <si>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</si>
  <si>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</si>
  <si>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</si>
  <si>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</si>
  <si>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</si>
  <si>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</si>
  <si>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</si>
  <si>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</si>
  <si>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</si>
  <si>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</si>
  <si>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</si>
  <si>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</si>
  <si>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</si>
  <si>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</si>
  <si>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</si>
  <si>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</si>
  <si>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</si>
  <si>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</si>
  <si>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</si>
  <si>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</si>
  <si>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</si>
  <si>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</si>
  <si>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</si>
  <si>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</si>
  <si>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</si>
  <si>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</si>
  <si>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</si>
  <si>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</si>
  <si>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</si>
  <si>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</si>
  <si>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</si>
  <si>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</si>
  <si>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</si>
  <si>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</si>
  <si>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</si>
  <si>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</si>
  <si>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</si>
  <si>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</si>
  <si>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</si>
  <si>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</si>
  <si>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</si>
  <si>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</si>
  <si>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</si>
  <si>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</si>
  <si>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</si>
  <si>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</si>
  <si>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t>Сертифика ты и др. документы, подтверждающие проведение открытых мероприятий и др.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</si>
  <si>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 3 и 4)</t>
    </r>
  </si>
  <si>
    <t>Опыт представлен на собствен- ном профес- сиональном сайте</t>
  </si>
  <si>
    <t>2 и более-150б</t>
  </si>
  <si>
    <t>10-200</t>
  </si>
  <si>
    <r>
      <t xml:space="preserve">Профессиональное научное развитие*
</t>
    </r>
    <r>
      <rPr>
        <i/>
        <sz val="10"/>
        <rFont val="Times New Roman"/>
        <family val="1"/>
      </rPr>
      <t>(см. Приложение 5)</t>
    </r>
  </si>
  <si>
    <t>Уровень</t>
  </si>
  <si>
    <t>ОУ</t>
  </si>
  <si>
    <t>Уровень 
ОУ</t>
  </si>
  <si>
    <t>Опыт представлен на  сайте ОУ</t>
  </si>
  <si>
    <r>
      <t xml:space="preserve">Участие в проектно-исследовательской, опытно-эксперименталь- ной и др. научной деятельности*
</t>
    </r>
    <r>
      <rPr>
        <i/>
        <sz val="10"/>
        <rFont val="Times New Roman"/>
        <family val="1"/>
      </rPr>
      <t>(см. Приложение 3)</t>
    </r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</si>
  <si>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</si>
  <si>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</si>
  <si>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</si>
  <si>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</si>
  <si>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</si>
  <si>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</si>
  <si>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</si>
  <si>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</si>
  <si>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</si>
  <si>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</si>
  <si>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</si>
  <si>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2.1.8.</t>
  </si>
  <si>
    <t>3-й год - 90б.
4-ый и более - 100б.</t>
  </si>
  <si>
    <t>Количество участников - 
до 60 % от общего количества</t>
  </si>
  <si>
    <t>Количество участников - 
60 % и более от общего количества</t>
  </si>
  <si>
    <t xml:space="preserve">Кол-во участников - до 30%
от общего количества
</t>
  </si>
  <si>
    <t>Копии приказов, справки</t>
  </si>
  <si>
    <r>
      <t xml:space="preserve">Выступления на научно-практических конферен- циях, педагогических чте- ниях,  семинарах, секциях </t>
    </r>
    <r>
      <rPr>
        <sz val="11"/>
        <rFont val="Times New Roman"/>
        <family val="1"/>
      </rPr>
      <t xml:space="preserve"> и др.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(см. Приложение 3)</t>
    </r>
  </si>
  <si>
    <r>
      <t>Проведение открытых воспитательных мероприятий, мастер-классов и других форм 
по основным видам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</si>
  <si>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Примечание:  на уровне ОУ
и муниципальном уровнях учитываются авторские разработки в виде рукописи при наличии соответствующих рецензий
(см. Приложение 3)</t>
  </si>
  <si>
    <r>
      <t>Участие в деятельности профессиональных ассо- циаций, аттестационных комиссий (до 2011 г.), жюри профессиональных конкурсов, постоянно действующих семинарах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</si>
  <si>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1 комис./ жюри - 10б.</t>
  </si>
  <si>
    <t>1 комис./ жюри - 30б.</t>
  </si>
  <si>
    <t>1 комис./ жюри - 50б.</t>
  </si>
  <si>
    <t>1 комис./ жюри - 80б.</t>
  </si>
  <si>
    <t>2 комис./ жюри - 20б.</t>
  </si>
  <si>
    <t>2 комис./ жюри - 40б.</t>
  </si>
  <si>
    <t>2 комис./ жюри - 60б.</t>
  </si>
  <si>
    <t>2 комис./ жюри - 90б.</t>
  </si>
  <si>
    <t>Документы, подтверждающие  участие в работе КБОУ (кафедрального базового обр.учрежд.), эксперимент.  площадок, лабораторий, центров</t>
  </si>
  <si>
    <t>1 комис.- 10б.</t>
  </si>
  <si>
    <t>1 комис.- 30б.</t>
  </si>
  <si>
    <t>1 комис.- 50б.</t>
  </si>
  <si>
    <t>1 комис.- 80б.</t>
  </si>
  <si>
    <t>2 комис.- 20б.</t>
  </si>
  <si>
    <t>2 комис.- 40б.</t>
  </si>
  <si>
    <t>2 комис.- 60б.</t>
  </si>
  <si>
    <t>2 комис.- 90б.</t>
  </si>
  <si>
    <t>2.1.9.</t>
  </si>
  <si>
    <t>Копии приказов, справки, письменное подтверж- дение</t>
  </si>
  <si>
    <t>Социальная диагностика</t>
  </si>
  <si>
    <t>Проводится периодически или по запросу</t>
  </si>
  <si>
    <t>Проводится системно, комплексно</t>
  </si>
  <si>
    <t>Не про- водится</t>
  </si>
  <si>
    <t>Результаты внешнего контроля</t>
  </si>
  <si>
    <t>Организация внеурочной деятельности  детей группы риска</t>
  </si>
  <si>
    <t>Планы, протоколы, отчеты, мониторинги</t>
  </si>
  <si>
    <t>Отсутст- вует</t>
  </si>
  <si>
    <t>Осуществляется периодически</t>
  </si>
  <si>
    <t>Осуществляется 
регулярно</t>
  </si>
  <si>
    <t>Пропаганда здорового образа жизни среди участников образовательного процесса</t>
  </si>
  <si>
    <t>Планы, отчеты и др. документы</t>
  </si>
  <si>
    <t>Оказание методической и консультационной помощи родителям (иными законными представителями)</t>
  </si>
  <si>
    <t>Планы, отчеты, журналы регистрации и др. документы</t>
  </si>
  <si>
    <t xml:space="preserve">Планы, отчеты и др. документы </t>
  </si>
  <si>
    <t>Грамоты, дипломы, 
 или других документов призеров и победителей мероприятий, акций</t>
  </si>
  <si>
    <t>(Владеет современными  образовательными  
технологиями /методиками и эффективно применяет их в практической профессиональной деятельности)
см. Приложение 1 и Приложение 2</t>
  </si>
  <si>
    <t>Продуктивность и эффективность социально-педагогической  деятельности</t>
  </si>
  <si>
    <t xml:space="preserve">  –   1400</t>
  </si>
  <si>
    <t xml:space="preserve"> 10-30 </t>
  </si>
  <si>
    <t>50-100</t>
  </si>
  <si>
    <t>Результаты внеурочной деятельности воспитанников, 
в том числе детей 
группы риска:</t>
  </si>
  <si>
    <t xml:space="preserve"> грамоты, дипломы 
или др. документы, подтверждающие победы, призовые места и участие</t>
  </si>
  <si>
    <r>
      <t xml:space="preserve"> - конкурсы, 
 - турниры,
 - выставки,
 - фестивали и др.
</t>
    </r>
    <r>
      <rPr>
        <i/>
        <sz val="10"/>
        <rFont val="Times New Roman"/>
        <family val="1"/>
      </rPr>
      <t xml:space="preserve">(см.  Приложение  6)
Примечание: 
баллы за участие даются только при отсутствии победителей и призеров
</t>
    </r>
  </si>
  <si>
    <t>1-2 чел. - 50б.
3-7 чел  - 60б.
8 и более - 70б.
Участие - 30б.</t>
  </si>
  <si>
    <t>1-2 чел. - 70б.
3-5 чел. - 80б.
6-7 чел. - 90б.
8 и более -100б
Участие - 50б.</t>
  </si>
  <si>
    <t>30-70</t>
  </si>
  <si>
    <r>
      <t>Участие в деятельности  комиссий по профилак- тике правонарушений, ПМПК, Совета профилактики правонарушений ОУ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</si>
  <si>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1 конк. - 110б.</t>
  </si>
  <si>
    <t>1 конкурс- 60б</t>
  </si>
  <si>
    <t>Социальный паспорт группы, ОУ, микрорайона, мониторинг. исследования</t>
  </si>
  <si>
    <r>
      <t>Взаимодействие с администрацией ОУ, преподавателями, воспитателями,классными руководителями, психо-логом, специалистами межведомственных структур</t>
    </r>
    <r>
      <rPr>
        <sz val="10"/>
        <rFont val="Times New Roman"/>
        <family val="1"/>
      </rPr>
      <t xml:space="preserve"> (КДН  и ЗП, ОДН и др.)</t>
    </r>
    <r>
      <rPr>
        <sz val="11"/>
        <rFont val="Times New Roman"/>
        <family val="1"/>
      </rPr>
      <t>,родителями (лицами их заменяющими)</t>
    </r>
  </si>
  <si>
    <r>
      <t>Результаты участия обу- чающихся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, в том числе детей группы риска, в профилактических мероприятиях, акциях социально-педагогичес- кой направленности
</t>
    </r>
    <r>
      <rPr>
        <i/>
        <sz val="10"/>
        <rFont val="Times New Roman"/>
        <family val="1"/>
      </rPr>
      <t>(см. Приложение 6)</t>
    </r>
  </si>
  <si>
    <t>Организация работы с обучающимися из числа сирот и детей, оставшихся без попечения родителей</t>
  </si>
  <si>
    <t>Истринский</t>
  </si>
  <si>
    <t>Наличие степени кандидата наук, доцента</t>
  </si>
  <si>
    <t>Наличие степени доктора наук, профессора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</si>
  <si>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</si>
  <si>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</si>
  <si>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</si>
  <si>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</si>
  <si>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</si>
  <si>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</si>
  <si>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</si>
  <si>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</si>
  <si>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сентября</t>
  </si>
  <si>
    <t>на социального педагога 
начального/ среднего профессионального образования (НПО/СПО)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</si>
  <si>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</si>
  <si>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</si>
  <si>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</si>
  <si>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</si>
  <si>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</si>
  <si>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</si>
  <si>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да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</si>
  <si>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</si>
  <si>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</si>
  <si>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</si>
  <si>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</si>
  <si>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</si>
  <si>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</si>
  <si>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</si>
  <si>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</si>
  <si>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Реком., по результатам ввода баллов на листе ЭЗ и если вывод за межатт. =да</t>
  </si>
  <si>
    <t>формула</t>
  </si>
  <si>
    <t>ИТОГовая формула -&gt;</t>
  </si>
  <si>
    <t>нетда</t>
  </si>
  <si>
    <t>данет</t>
  </si>
  <si>
    <t xml:space="preserve">Государственное бюджетное образовательное учреждение начального / среднего профессионального образования Московской области … (для редактирования - двойной щелчок левой кнопкой мыши по ячейке) </t>
  </si>
  <si>
    <t xml:space="preserve"> 2) если у педагога нет  высшего или  среднего профессионального образования  по направлению подготовки "Образование и педагогика" или "Социальная педагогика"</t>
  </si>
  <si>
    <t xml:space="preserve"> 3) </t>
  </si>
  <si>
    <t xml:space="preserve">Получить  дополнительное профессиональное образование по направлению подготовки "Образование и педагогика" или "Социальная педагогика". </t>
  </si>
  <si>
    <r>
      <t xml:space="preserve">Наличие/получение  высшего или  среднего профессионального образования  по направлению подготовки "Образование и педагогика" </t>
    </r>
    <r>
      <rPr>
        <sz val="11"/>
        <color indexed="10"/>
        <rFont val="Times New Roman"/>
        <family val="1"/>
      </rPr>
      <t xml:space="preserve">или </t>
    </r>
    <r>
      <rPr>
        <sz val="11"/>
        <rFont val="Times New Roman"/>
        <family val="1"/>
      </rPr>
      <t>"Социальная педагогика"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</si>
  <si>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 или "Социальная педагогика"</t>
    </r>
  </si>
  <si>
    <t>F175=0;F178=0;G186&lt;&gt;100</t>
  </si>
  <si>
    <t>100-250</t>
  </si>
  <si>
    <t>300-500</t>
  </si>
  <si>
    <r>
      <t xml:space="preserve">        </t>
    </r>
    <r>
      <rPr>
        <sz val="3"/>
        <rFont val="Times New Roman"/>
        <family val="1"/>
      </rPr>
      <t xml:space="preserve">  </t>
    </r>
    <r>
      <rPr>
        <sz val="10"/>
        <rFont val="Times New Roman"/>
        <family val="1"/>
      </rPr>
      <t>Эксперт</t>
    </r>
    <r>
      <rPr>
        <sz val="3"/>
        <rFont val="Times New Roman"/>
        <family val="1"/>
      </rPr>
      <t xml:space="preserve">
</t>
    </r>
    <r>
      <rPr>
        <i/>
        <sz val="9"/>
        <rFont val="Times New Roman"/>
        <family val="1"/>
      </rPr>
      <t>1 выезд – 100 б.
2-3 выезда – 150 б.
4-6 выездов – 200 б.
7 и более выездов – 250 б.</t>
    </r>
  </si>
  <si>
    <r>
      <t xml:space="preserve">Почетные звания, про- фессиональные награды, премии </t>
    </r>
    <r>
      <rPr>
        <sz val="10"/>
        <rFont val="Times New Roman"/>
        <family val="1"/>
      </rPr>
      <t xml:space="preserve">за весь период про- фессиональной деятельности
</t>
    </r>
    <r>
      <rPr>
        <i/>
        <sz val="10"/>
        <rFont val="Times New Roman"/>
        <family val="1"/>
      </rPr>
      <t>(см. Приложение 3)</t>
    </r>
  </si>
  <si>
    <r>
      <t>Обучение 
на 1-2 курсе ВПО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Обучение  
на 1-м курсе ПП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 xml:space="preserve"> Освоено менее 50% программы СТ</t>
    </r>
  </si>
  <si>
    <r>
      <t>Обучение
на 3-4 курсе ВПО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Обучение
 на 2-м курсе ПП</t>
    </r>
    <r>
      <rPr>
        <sz val="3"/>
        <rFont val="Times New Roman"/>
        <family val="1"/>
      </rPr>
      <t xml:space="preserve">
</t>
    </r>
    <r>
      <rPr>
        <sz val="10"/>
        <rFont val="Times New Roman"/>
        <family val="1"/>
      </rPr>
      <t>Освоено более 50% программы СТ</t>
    </r>
  </si>
  <si>
    <t>Грамоты, дипломы, благодарнос- ти, выписки из приказов</t>
  </si>
  <si>
    <r>
      <t xml:space="preserve">Муницип./ зональный </t>
    </r>
    <r>
      <rPr>
        <sz val="9"/>
        <rFont val="Times New Roman"/>
        <family val="1"/>
      </rPr>
      <t>уровень</t>
    </r>
  </si>
  <si>
    <t>Сентябрь  2013г.</t>
  </si>
  <si>
    <r>
      <t xml:space="preserve">         Председатель 
  экспертной группы</t>
    </r>
    <r>
      <rPr>
        <sz val="3"/>
        <rFont val="Times New Roman"/>
        <family val="1"/>
      </rPr>
      <t xml:space="preserve">
       </t>
    </r>
    <r>
      <rPr>
        <i/>
        <sz val="9"/>
        <rFont val="Times New Roman"/>
        <family val="1"/>
      </rPr>
      <t>1 год – 300 б.
  2 года – 400 б.
  3 и более – 500 б.</t>
    </r>
  </si>
  <si>
    <t>городской округ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</si>
</sst>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</numFmts>
  <fonts count="1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0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sz val="9"/>
      <name val="Symbol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3"/>
      <name val="Arial Cyr"/>
      <family val="0"/>
    </font>
    <font>
      <b/>
      <sz val="10"/>
      <color indexed="18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sz val="9"/>
      <name val="Tahoma"/>
      <family val="2"/>
    </font>
    <font>
      <sz val="11"/>
      <color indexed="10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94" fillId="7" borderId="1" applyNumberFormat="0" applyAlignment="0" applyProtection="0"/>
    <xf numFmtId="0" fontId="95" fillId="20" borderId="2" applyNumberFormat="0" applyAlignment="0" applyProtection="0"/>
    <xf numFmtId="0" fontId="9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1" borderId="7" applyNumberFormat="0" applyAlignment="0" applyProtection="0"/>
    <xf numFmtId="0" fontId="102" fillId="0" borderId="0" applyNumberFormat="0" applyFill="0" applyBorder="0" applyAlignment="0" applyProtection="0"/>
    <xf numFmtId="0" fontId="103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4" borderId="0" applyNumberFormat="0" applyBorder="0" applyAlignment="0" applyProtection="0"/>
  </cellStyleXfs>
  <cellXfs count="709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7" borderId="12" xfId="0" applyFill="1" applyBorder="1" applyAlignment="1" applyProtection="1">
      <alignment horizontal="right" vertical="center"/>
      <protection hidden="1"/>
    </xf>
    <xf numFmtId="0" fontId="0" fillId="7" borderId="15" xfId="0" applyFill="1" applyBorder="1" applyAlignment="1" applyProtection="1">
      <alignment horizontal="right" vertical="center"/>
      <protection hidden="1"/>
    </xf>
    <xf numFmtId="0" fontId="0" fillId="7" borderId="13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right" vertical="center"/>
      <protection hidden="1"/>
    </xf>
    <xf numFmtId="0" fontId="0" fillId="22" borderId="17" xfId="0" applyFill="1" applyBorder="1" applyAlignment="1" applyProtection="1">
      <alignment horizontal="right" vertical="center"/>
      <protection hidden="1"/>
    </xf>
    <xf numFmtId="0" fontId="0" fillId="22" borderId="10" xfId="0" applyFill="1" applyBorder="1" applyAlignment="1" applyProtection="1">
      <alignment horizontal="right" vertical="center"/>
      <protection hidden="1"/>
    </xf>
    <xf numFmtId="0" fontId="0" fillId="22" borderId="16" xfId="0" applyFill="1" applyBorder="1" applyAlignment="1" applyProtection="1">
      <alignment horizontal="right" vertical="center"/>
      <protection hidden="1"/>
    </xf>
    <xf numFmtId="0" fontId="0" fillId="22" borderId="19" xfId="0" applyFill="1" applyBorder="1" applyAlignment="1" applyProtection="1">
      <alignment horizontal="right" vertical="center"/>
      <protection hidden="1"/>
    </xf>
    <xf numFmtId="0" fontId="0" fillId="22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22" borderId="20" xfId="0" applyFill="1" applyBorder="1" applyAlignment="1" applyProtection="1">
      <alignment horizontal="right" vertical="center"/>
      <protection hidden="1"/>
    </xf>
    <xf numFmtId="0" fontId="0" fillId="22" borderId="21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2" borderId="0" xfId="0" applyFill="1" applyAlignment="1" applyProtection="1">
      <alignment horizontal="right" vertical="center"/>
      <protection hidden="1"/>
    </xf>
    <xf numFmtId="0" fontId="0" fillId="22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4" borderId="17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6" xfId="0" applyFill="1" applyBorder="1" applyAlignment="1" applyProtection="1">
      <alignment horizontal="right" vertical="center"/>
      <protection hidden="1"/>
    </xf>
    <xf numFmtId="0" fontId="0" fillId="2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22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0" fillId="7" borderId="10" xfId="0" applyFill="1" applyBorder="1" applyAlignment="1" applyProtection="1">
      <alignment horizontal="right" vertical="center"/>
      <protection hidden="1"/>
    </xf>
    <xf numFmtId="0" fontId="0" fillId="7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2" fillId="0" borderId="15" xfId="0" applyFont="1" applyBorder="1" applyAlignment="1" applyProtection="1">
      <alignment horizontal="left" vertical="top"/>
      <protection hidden="1"/>
    </xf>
    <xf numFmtId="0" fontId="42" fillId="0" borderId="0" xfId="0" applyFont="1" applyBorder="1" applyAlignment="1" applyProtection="1">
      <alignment horizontal="left" vertical="top"/>
      <protection hidden="1"/>
    </xf>
    <xf numFmtId="0" fontId="42" fillId="0" borderId="13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2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4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4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39" fillId="4" borderId="0" xfId="54" applyFont="1" applyFill="1" applyBorder="1" applyAlignment="1" applyProtection="1">
      <alignment vertical="center"/>
      <protection hidden="1"/>
    </xf>
    <xf numFmtId="0" fontId="39" fillId="7" borderId="0" xfId="54" applyFont="1" applyFill="1" applyBorder="1" applyAlignment="1" applyProtection="1">
      <alignment vertical="center"/>
      <protection hidden="1"/>
    </xf>
    <xf numFmtId="0" fontId="39" fillId="23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2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5" fillId="0" borderId="16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5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8" fillId="0" borderId="0" xfId="0" applyFont="1" applyBorder="1" applyAlignment="1" applyProtection="1">
      <alignment horizontal="center" wrapText="1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5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7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Fill="1" applyBorder="1" applyAlignment="1" applyProtection="1">
      <alignment vertical="top"/>
      <protection/>
    </xf>
    <xf numFmtId="0" fontId="59" fillId="0" borderId="0" xfId="0" applyFont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2" borderId="19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 vertical="center"/>
      <protection hidden="1"/>
    </xf>
    <xf numFmtId="0" fontId="0" fillId="22" borderId="24" xfId="0" applyFill="1" applyBorder="1" applyAlignment="1" applyProtection="1">
      <alignment vertical="center"/>
      <protection hidden="1"/>
    </xf>
    <xf numFmtId="0" fontId="0" fillId="22" borderId="23" xfId="0" applyFill="1" applyBorder="1" applyAlignment="1" applyProtection="1">
      <alignment/>
      <protection hidden="1"/>
    </xf>
    <xf numFmtId="0" fontId="0" fillId="24" borderId="20" xfId="0" applyFill="1" applyBorder="1" applyAlignment="1" applyProtection="1">
      <alignment vertic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horizontal="right" vertical="center"/>
      <protection hidden="1"/>
    </xf>
    <xf numFmtId="0" fontId="54" fillId="0" borderId="11" xfId="0" applyFont="1" applyBorder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24" borderId="22" xfId="0" applyFont="1" applyFill="1" applyBorder="1" applyAlignment="1" applyProtection="1">
      <alignment horizontal="left" vertical="top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4" fillId="4" borderId="22" xfId="0" applyFont="1" applyFill="1" applyBorder="1" applyAlignment="1" applyProtection="1">
      <alignment horizontal="center" vertical="top"/>
      <protection locked="0"/>
    </xf>
    <xf numFmtId="1" fontId="23" fillId="24" borderId="22" xfId="0" applyNumberFormat="1" applyFont="1" applyFill="1" applyBorder="1" applyAlignment="1" applyProtection="1">
      <alignment horizontal="center"/>
      <protection locked="0"/>
    </xf>
    <xf numFmtId="1" fontId="23" fillId="24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0" fontId="61" fillId="0" borderId="0" xfId="0" applyFont="1" applyFill="1" applyBorder="1" applyAlignment="1" applyProtection="1">
      <alignment horizontal="left" vertical="top" indent="1"/>
      <protection hidden="1"/>
    </xf>
    <xf numFmtId="3" fontId="62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58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65" fillId="0" borderId="0" xfId="0" applyFont="1" applyFill="1" applyBorder="1" applyAlignment="1" applyProtection="1">
      <alignment/>
      <protection hidden="1"/>
    </xf>
    <xf numFmtId="0" fontId="65" fillId="0" borderId="0" xfId="0" applyFont="1" applyFill="1" applyBorder="1" applyAlignment="1" applyProtection="1">
      <alignment horizontal="right" vertical="center"/>
      <protection hidden="1"/>
    </xf>
    <xf numFmtId="0" fontId="57" fillId="0" borderId="0" xfId="0" applyFont="1" applyFill="1" applyAlignment="1" applyProtection="1">
      <alignment/>
      <protection hidden="1"/>
    </xf>
    <xf numFmtId="0" fontId="56" fillId="0" borderId="0" xfId="0" applyFont="1" applyFill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7" fillId="0" borderId="0" xfId="0" applyFont="1" applyAlignment="1" applyProtection="1">
      <alignment horizontal="left" vertical="top"/>
      <protection hidden="1"/>
    </xf>
    <xf numFmtId="0" fontId="72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 horizontal="right" vertical="center"/>
      <protection hidden="1"/>
    </xf>
    <xf numFmtId="0" fontId="72" fillId="0" borderId="0" xfId="0" applyFont="1" applyAlignment="1" applyProtection="1">
      <alignment horizontal="left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27" fillId="22" borderId="22" xfId="0" applyFont="1" applyFill="1" applyBorder="1" applyAlignment="1" applyProtection="1">
      <alignment vertical="top"/>
      <protection hidden="1"/>
    </xf>
    <xf numFmtId="0" fontId="0" fillId="22" borderId="22" xfId="0" applyFill="1" applyBorder="1" applyAlignment="1" applyProtection="1">
      <alignment/>
      <protection hidden="1"/>
    </xf>
    <xf numFmtId="0" fontId="17" fillId="22" borderId="24" xfId="42" applyFill="1" applyBorder="1" applyAlignment="1" applyProtection="1">
      <alignment horizontal="left" vertical="top"/>
      <protection hidden="1"/>
    </xf>
    <xf numFmtId="0" fontId="27" fillId="22" borderId="24" xfId="0" applyFont="1" applyFill="1" applyBorder="1" applyAlignment="1" applyProtection="1">
      <alignment vertical="top" wrapText="1"/>
      <protection hidden="1"/>
    </xf>
    <xf numFmtId="0" fontId="27" fillId="22" borderId="24" xfId="0" applyFont="1" applyFill="1" applyBorder="1" applyAlignment="1" applyProtection="1">
      <alignment vertical="top"/>
      <protection hidden="1"/>
    </xf>
    <xf numFmtId="0" fontId="0" fillId="22" borderId="24" xfId="0" applyFill="1" applyBorder="1" applyAlignment="1" applyProtection="1">
      <alignment/>
      <protection hidden="1"/>
    </xf>
    <xf numFmtId="0" fontId="27" fillId="22" borderId="24" xfId="0" applyFont="1" applyFill="1" applyBorder="1" applyAlignment="1" applyProtection="1">
      <alignment horizontal="right" vertical="top" indent="1"/>
      <protection hidden="1"/>
    </xf>
    <xf numFmtId="0" fontId="0" fillId="22" borderId="24" xfId="0" applyFont="1" applyFill="1" applyBorder="1" applyAlignment="1" applyProtection="1">
      <alignment horizontal="left" vertical="top"/>
      <protection hidden="1"/>
    </xf>
    <xf numFmtId="0" fontId="6" fillId="22" borderId="24" xfId="0" applyFont="1" applyFill="1" applyBorder="1" applyAlignment="1" applyProtection="1">
      <alignment vertical="top"/>
      <protection hidden="1"/>
    </xf>
    <xf numFmtId="14" fontId="24" fillId="22" borderId="24" xfId="0" applyNumberFormat="1" applyFont="1" applyFill="1" applyBorder="1" applyAlignment="1" applyProtection="1">
      <alignment horizontal="left" vertical="top"/>
      <protection hidden="1"/>
    </xf>
    <xf numFmtId="0" fontId="24" fillId="22" borderId="24" xfId="0" applyFont="1" applyFill="1" applyBorder="1" applyAlignment="1" applyProtection="1">
      <alignment vertical="top"/>
      <protection hidden="1"/>
    </xf>
    <xf numFmtId="0" fontId="6" fillId="22" borderId="24" xfId="0" applyFont="1" applyFill="1" applyBorder="1" applyAlignment="1" applyProtection="1">
      <alignment horizontal="left" vertical="top"/>
      <protection hidden="1"/>
    </xf>
    <xf numFmtId="0" fontId="0" fillId="22" borderId="24" xfId="0" applyFont="1" applyFill="1" applyBorder="1" applyAlignment="1" applyProtection="1">
      <alignment horizontal="left" vertical="top" wrapText="1"/>
      <protection hidden="1"/>
    </xf>
    <xf numFmtId="0" fontId="6" fillId="22" borderId="0" xfId="0" applyFont="1" applyFill="1" applyAlignment="1" applyProtection="1">
      <alignment horizontal="left" vertical="top"/>
      <protection hidden="1"/>
    </xf>
    <xf numFmtId="0" fontId="0" fillId="22" borderId="0" xfId="0" applyFont="1" applyFill="1" applyAlignment="1" applyProtection="1">
      <alignment horizontal="left" vertical="top" wrapText="1"/>
      <protection hidden="1"/>
    </xf>
    <xf numFmtId="0" fontId="0" fillId="22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/>
      <protection hidden="1" locked="0"/>
    </xf>
    <xf numFmtId="0" fontId="4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left" vertical="top" wrapText="1"/>
      <protection hidden="1"/>
    </xf>
    <xf numFmtId="0" fontId="27" fillId="0" borderId="18" xfId="0" applyFont="1" applyBorder="1" applyAlignment="1" applyProtection="1">
      <alignment horizontal="center" vertical="center"/>
      <protection hidden="1" locked="0"/>
    </xf>
    <xf numFmtId="0" fontId="79" fillId="0" borderId="0" xfId="0" applyFont="1" applyFill="1" applyBorder="1" applyAlignment="1" applyProtection="1">
      <alignment horizontal="left" vertical="top" indent="1"/>
      <protection hidden="1"/>
    </xf>
    <xf numFmtId="3" fontId="66" fillId="0" borderId="0" xfId="0" applyNumberFormat="1" applyFont="1" applyFill="1" applyBorder="1" applyAlignment="1" applyProtection="1">
      <alignment horizontal="left" vertical="top" indent="1"/>
      <protection hidden="1"/>
    </xf>
    <xf numFmtId="3" fontId="66" fillId="0" borderId="0" xfId="0" applyNumberFormat="1" applyFont="1" applyFill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81" fillId="0" borderId="0" xfId="0" applyFont="1" applyAlignment="1" applyProtection="1">
      <alignment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17" fillId="0" borderId="14" xfId="42" applyBorder="1" applyAlignment="1" applyProtection="1">
      <alignment/>
      <protection hidden="1"/>
    </xf>
    <xf numFmtId="0" fontId="17" fillId="0" borderId="17" xfId="42" applyBorder="1" applyAlignment="1" applyProtection="1">
      <alignment/>
      <protection hidden="1"/>
    </xf>
    <xf numFmtId="0" fontId="17" fillId="0" borderId="10" xfId="42" applyBorder="1" applyAlignment="1" applyProtection="1">
      <alignment/>
      <protection hidden="1"/>
    </xf>
    <xf numFmtId="0" fontId="17" fillId="0" borderId="16" xfId="42" applyBorder="1" applyAlignment="1" applyProtection="1">
      <alignment/>
      <protection hidden="1"/>
    </xf>
    <xf numFmtId="0" fontId="17" fillId="0" borderId="20" xfId="42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171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4" fillId="0" borderId="0" xfId="0" applyFont="1" applyBorder="1" applyAlignment="1" applyProtection="1">
      <alignment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68" fillId="0" borderId="0" xfId="42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/>
      <protection hidden="1"/>
    </xf>
    <xf numFmtId="171" fontId="24" fillId="24" borderId="22" xfId="0" applyNumberFormat="1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center"/>
      <protection hidden="1"/>
    </xf>
    <xf numFmtId="0" fontId="81" fillId="0" borderId="0" xfId="0" applyFont="1" applyBorder="1" applyAlignment="1" applyProtection="1">
      <alignment/>
      <protection hidden="1"/>
    </xf>
    <xf numFmtId="0" fontId="81" fillId="0" borderId="0" xfId="0" applyFont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4" fillId="0" borderId="10" xfId="0" applyFont="1" applyBorder="1" applyAlignment="1" applyProtection="1">
      <alignment horizontal="left" vertical="top"/>
      <protection hidden="1"/>
    </xf>
    <xf numFmtId="0" fontId="82" fillId="0" borderId="16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4" fillId="7" borderId="16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60" fillId="0" borderId="10" xfId="0" applyFont="1" applyFill="1" applyBorder="1" applyAlignment="1" applyProtection="1">
      <alignment horizontal="left" vertical="top" indent="1"/>
      <protection hidden="1"/>
    </xf>
    <xf numFmtId="0" fontId="78" fillId="0" borderId="10" xfId="0" applyFont="1" applyFill="1" applyBorder="1" applyAlignment="1" applyProtection="1">
      <alignment horizontal="left" vertical="top" indent="1"/>
      <protection hidden="1"/>
    </xf>
    <xf numFmtId="0" fontId="24" fillId="0" borderId="10" xfId="0" applyFont="1" applyFill="1" applyBorder="1" applyAlignment="1" applyProtection="1">
      <alignment horizontal="center" vertical="top"/>
      <protection hidden="1"/>
    </xf>
    <xf numFmtId="0" fontId="24" fillId="0" borderId="16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top" indent="5"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27" fillId="0" borderId="10" xfId="0" applyFont="1" applyFill="1" applyBorder="1" applyAlignment="1" applyProtection="1">
      <alignment horizontal="right"/>
      <protection hidden="1"/>
    </xf>
    <xf numFmtId="0" fontId="47" fillId="7" borderId="21" xfId="0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Border="1" applyAlignment="1" applyProtection="1">
      <alignment horizontal="lef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47" fillId="7" borderId="17" xfId="0" applyFont="1" applyFill="1" applyBorder="1" applyAlignment="1" applyProtection="1">
      <alignment horizontal="center" vertical="center"/>
      <protection hidden="1"/>
    </xf>
    <xf numFmtId="0" fontId="68" fillId="22" borderId="23" xfId="42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left" vertical="top" indent="1"/>
      <protection locked="0"/>
    </xf>
    <xf numFmtId="0" fontId="14" fillId="0" borderId="16" xfId="0" applyFont="1" applyFill="1" applyBorder="1" applyAlignment="1" applyProtection="1">
      <alignment/>
      <protection hidden="1"/>
    </xf>
    <xf numFmtId="0" fontId="85" fillId="0" borderId="10" xfId="0" applyFont="1" applyBorder="1" applyAlignment="1" applyProtection="1">
      <alignment/>
      <protection hidden="1"/>
    </xf>
    <xf numFmtId="0" fontId="85" fillId="0" borderId="0" xfId="0" applyFont="1" applyBorder="1" applyAlignment="1" applyProtection="1">
      <alignment/>
      <protection hidden="1"/>
    </xf>
    <xf numFmtId="0" fontId="86" fillId="0" borderId="0" xfId="0" applyFont="1" applyFill="1" applyBorder="1" applyAlignment="1" applyProtection="1">
      <alignment horizontal="left" vertical="top" indent="1"/>
      <protection hidden="1"/>
    </xf>
    <xf numFmtId="0" fontId="84" fillId="0" borderId="0" xfId="0" applyFont="1" applyFill="1" applyBorder="1" applyAlignment="1" applyProtection="1">
      <alignment vertical="top"/>
      <protection hidden="1"/>
    </xf>
    <xf numFmtId="0" fontId="84" fillId="0" borderId="16" xfId="0" applyFont="1" applyFill="1" applyBorder="1" applyAlignment="1" applyProtection="1">
      <alignment vertical="top"/>
      <protection hidden="1"/>
    </xf>
    <xf numFmtId="0" fontId="24" fillId="0" borderId="10" xfId="0" applyFont="1" applyFill="1" applyBorder="1" applyAlignment="1" applyProtection="1">
      <alignment vertical="top"/>
      <protection hidden="1"/>
    </xf>
    <xf numFmtId="0" fontId="24" fillId="24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7" fillId="24" borderId="21" xfId="0" applyNumberFormat="1" applyFont="1" applyFill="1" applyBorder="1" applyAlignment="1" applyProtection="1">
      <alignment horizontal="center" vertical="top"/>
      <protection locked="0"/>
    </xf>
    <xf numFmtId="0" fontId="5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7" fillId="24" borderId="2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4" fillId="0" borderId="16" xfId="0" applyFont="1" applyFill="1" applyBorder="1" applyAlignment="1" applyProtection="1">
      <alignment vertical="top"/>
      <protection hidden="1"/>
    </xf>
    <xf numFmtId="0" fontId="57" fillId="0" borderId="10" xfId="0" applyFont="1" applyBorder="1" applyAlignment="1" applyProtection="1">
      <alignment horizontal="right"/>
      <protection hidden="1"/>
    </xf>
    <xf numFmtId="0" fontId="87" fillId="0" borderId="0" xfId="0" applyFont="1" applyBorder="1" applyAlignment="1" applyProtection="1">
      <alignment/>
      <protection hidden="1"/>
    </xf>
    <xf numFmtId="0" fontId="58" fillId="0" borderId="22" xfId="0" applyFont="1" applyBorder="1" applyAlignment="1" applyProtection="1">
      <alignment horizontal="left"/>
      <protection hidden="1"/>
    </xf>
    <xf numFmtId="0" fontId="57" fillId="0" borderId="1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7" fillId="0" borderId="10" xfId="0" applyFont="1" applyFill="1" applyBorder="1" applyAlignment="1" applyProtection="1">
      <alignment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7" borderId="16" xfId="0" applyFont="1" applyFill="1" applyBorder="1" applyAlignment="1" applyProtection="1">
      <alignment horizontal="center" vertical="top" wrapText="1"/>
      <protection hidden="1"/>
    </xf>
    <xf numFmtId="0" fontId="33" fillId="25" borderId="10" xfId="0" applyFont="1" applyFill="1" applyBorder="1" applyAlignment="1" applyProtection="1">
      <alignment horizontal="center" vertical="top" wrapText="1"/>
      <protection hidden="1"/>
    </xf>
    <xf numFmtId="0" fontId="24" fillId="25" borderId="0" xfId="0" applyFont="1" applyFill="1" applyBorder="1" applyAlignment="1" applyProtection="1">
      <alignment horizontal="center" vertical="top"/>
      <protection hidden="1"/>
    </xf>
    <xf numFmtId="0" fontId="33" fillId="25" borderId="16" xfId="0" applyFont="1" applyFill="1" applyBorder="1" applyAlignment="1" applyProtection="1">
      <alignment horizontal="center" vertical="top" wrapText="1"/>
      <protection hidden="1"/>
    </xf>
    <xf numFmtId="0" fontId="57" fillId="0" borderId="10" xfId="0" applyFont="1" applyBorder="1" applyAlignment="1" applyProtection="1">
      <alignment horizontal="left" vertical="top"/>
      <protection hidden="1"/>
    </xf>
    <xf numFmtId="0" fontId="30" fillId="0" borderId="21" xfId="0" applyFont="1" applyBorder="1" applyAlignment="1" applyProtection="1">
      <alignment horizontal="left"/>
      <protection hidden="1"/>
    </xf>
    <xf numFmtId="0" fontId="57" fillId="0" borderId="0" xfId="0" applyFont="1" applyBorder="1" applyAlignment="1" applyProtection="1">
      <alignment/>
      <protection hidden="1"/>
    </xf>
    <xf numFmtId="0" fontId="56" fillId="0" borderId="0" xfId="0" applyFont="1" applyAlignment="1" applyProtection="1">
      <alignment horizontal="left"/>
      <protection hidden="1"/>
    </xf>
    <xf numFmtId="0" fontId="69" fillId="0" borderId="10" xfId="0" applyFont="1" applyBorder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34" fillId="0" borderId="16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24" borderId="10" xfId="0" applyFill="1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/>
      <protection hidden="1"/>
    </xf>
    <xf numFmtId="0" fontId="68" fillId="0" borderId="10" xfId="42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8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6" xfId="0" applyBorder="1" applyAlignment="1" applyProtection="1">
      <alignment vertical="distributed"/>
      <protection hidden="1"/>
    </xf>
    <xf numFmtId="0" fontId="56" fillId="0" borderId="0" xfId="0" applyFont="1" applyAlignment="1" applyProtection="1">
      <alignment vertical="distributed"/>
      <protection hidden="1"/>
    </xf>
    <xf numFmtId="0" fontId="59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63" fillId="0" borderId="16" xfId="0" applyFont="1" applyBorder="1" applyAlignment="1" applyProtection="1">
      <alignment horizontal="left" vertical="top" wrapText="1" indent="1"/>
      <protection hidden="1"/>
    </xf>
    <xf numFmtId="0" fontId="59" fillId="3" borderId="10" xfId="0" applyFont="1" applyFill="1" applyBorder="1" applyAlignment="1" applyProtection="1">
      <alignment/>
      <protection hidden="1"/>
    </xf>
    <xf numFmtId="0" fontId="59" fillId="0" borderId="10" xfId="0" applyFont="1" applyBorder="1" applyAlignment="1" applyProtection="1">
      <alignment horizontal="right" vertical="distributed"/>
      <protection hidden="1"/>
    </xf>
    <xf numFmtId="0" fontId="0" fillId="26" borderId="0" xfId="0" applyFont="1" applyFill="1" applyAlignment="1" applyProtection="1">
      <alignment/>
      <protection hidden="1"/>
    </xf>
    <xf numFmtId="0" fontId="63" fillId="0" borderId="10" xfId="0" applyFont="1" applyBorder="1" applyAlignment="1" applyProtection="1">
      <alignment horizontal="left" vertical="top" wrapText="1" indent="1"/>
      <protection hidden="1"/>
    </xf>
    <xf numFmtId="0" fontId="63" fillId="0" borderId="0" xfId="0" applyFont="1" applyBorder="1" applyAlignment="1" applyProtection="1">
      <alignment horizontal="left" vertical="top" wrapText="1" indent="1"/>
      <protection hidden="1"/>
    </xf>
    <xf numFmtId="0" fontId="59" fillId="0" borderId="10" xfId="0" applyFont="1" applyBorder="1" applyAlignment="1" applyProtection="1">
      <alignment horizontal="right"/>
      <protection hidden="1"/>
    </xf>
    <xf numFmtId="0" fontId="57" fillId="3" borderId="0" xfId="0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80" fillId="0" borderId="13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63" fillId="0" borderId="18" xfId="0" applyFont="1" applyBorder="1" applyAlignment="1" applyProtection="1">
      <alignment horizontal="left" vertical="top" wrapText="1" indent="1"/>
      <protection hidden="1"/>
    </xf>
    <xf numFmtId="0" fontId="63" fillId="0" borderId="17" xfId="0" applyFont="1" applyBorder="1" applyAlignment="1" applyProtection="1">
      <alignment horizontal="left" vertical="top" wrapText="1" indent="1"/>
      <protection hidden="1"/>
    </xf>
    <xf numFmtId="0" fontId="63" fillId="0" borderId="20" xfId="0" applyFont="1" applyBorder="1" applyAlignment="1" applyProtection="1">
      <alignment horizontal="left" vertical="top" wrapText="1" indent="1"/>
      <protection hidden="1"/>
    </xf>
    <xf numFmtId="0" fontId="63" fillId="0" borderId="22" xfId="0" applyFont="1" applyBorder="1" applyAlignment="1" applyProtection="1">
      <alignment horizontal="left" vertical="top" wrapText="1" indent="1"/>
      <protection hidden="1"/>
    </xf>
    <xf numFmtId="0" fontId="63" fillId="0" borderId="21" xfId="0" applyFont="1" applyBorder="1" applyAlignment="1" applyProtection="1">
      <alignment horizontal="left" vertical="top" wrapText="1" indent="1"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0" fillId="24" borderId="0" xfId="0" applyFill="1" applyBorder="1" applyAlignment="1" applyProtection="1">
      <alignment horizontal="center" wrapText="1"/>
      <protection hidden="1"/>
    </xf>
    <xf numFmtId="0" fontId="85" fillId="0" borderId="10" xfId="0" applyFont="1" applyBorder="1" applyAlignment="1" applyProtection="1">
      <alignment horizontal="center" vertical="center"/>
      <protection hidden="1"/>
    </xf>
    <xf numFmtId="0" fontId="85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wrapText="1" indent="1"/>
      <protection hidden="1"/>
    </xf>
    <xf numFmtId="0" fontId="0" fillId="0" borderId="16" xfId="0" applyBorder="1" applyAlignment="1" applyProtection="1">
      <alignment horizontal="left" wrapText="1" indent="1"/>
      <protection hidden="1"/>
    </xf>
    <xf numFmtId="0" fontId="63" fillId="0" borderId="19" xfId="0" applyFont="1" applyBorder="1" applyAlignment="1" applyProtection="1">
      <alignment horizontal="left" vertical="top" wrapText="1" indent="1"/>
      <protection hidden="1"/>
    </xf>
    <xf numFmtId="0" fontId="63" fillId="0" borderId="24" xfId="0" applyFont="1" applyBorder="1" applyAlignment="1" applyProtection="1">
      <alignment horizontal="left" vertical="top" wrapText="1" indent="1"/>
      <protection hidden="1"/>
    </xf>
    <xf numFmtId="0" fontId="63" fillId="0" borderId="23" xfId="0" applyFont="1" applyBorder="1" applyAlignment="1" applyProtection="1">
      <alignment horizontal="left" vertical="top" wrapText="1" indent="1"/>
      <protection hidden="1"/>
    </xf>
    <xf numFmtId="0" fontId="63" fillId="0" borderId="14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63" fillId="0" borderId="10" xfId="0" applyFont="1" applyBorder="1" applyAlignment="1" applyProtection="1">
      <alignment horizontal="left" vertical="top" wrapText="1" indent="1"/>
      <protection hidden="1"/>
    </xf>
    <xf numFmtId="0" fontId="63" fillId="0" borderId="0" xfId="0" applyFont="1" applyBorder="1" applyAlignment="1" applyProtection="1">
      <alignment horizontal="left" vertical="top" wrapText="1" indent="1"/>
      <protection hidden="1"/>
    </xf>
    <xf numFmtId="0" fontId="63" fillId="0" borderId="16" xfId="0" applyFont="1" applyBorder="1" applyAlignment="1" applyProtection="1">
      <alignment horizontal="left" vertical="top" wrapText="1" indent="1"/>
      <protection hidden="1"/>
    </xf>
    <xf numFmtId="0" fontId="68" fillId="22" borderId="24" xfId="42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3" fontId="27" fillId="4" borderId="24" xfId="0" applyNumberFormat="1" applyFont="1" applyFill="1" applyBorder="1" applyAlignment="1" applyProtection="1">
      <alignment horizontal="center" vertical="top"/>
      <protection locked="0"/>
    </xf>
    <xf numFmtId="0" fontId="68" fillId="22" borderId="19" xfId="42" applyFont="1" applyFill="1" applyBorder="1" applyAlignment="1" applyProtection="1">
      <alignment horizontal="center" vertical="center"/>
      <protection hidden="1"/>
    </xf>
    <xf numFmtId="3" fontId="62" fillId="0" borderId="0" xfId="0" applyNumberFormat="1" applyFont="1" applyFill="1" applyBorder="1" applyAlignment="1" applyProtection="1">
      <alignment horizontal="left" vertical="top" indent="1"/>
      <protection hidden="1"/>
    </xf>
    <xf numFmtId="0" fontId="24" fillId="4" borderId="22" xfId="0" applyFont="1" applyFill="1" applyBorder="1" applyAlignment="1" applyProtection="1">
      <alignment horizontal="center" vertical="top"/>
      <protection locked="0"/>
    </xf>
    <xf numFmtId="0" fontId="89" fillId="3" borderId="0" xfId="0" applyFont="1" applyFill="1" applyBorder="1" applyAlignment="1" applyProtection="1">
      <alignment horizontal="left" vertical="center" wrapText="1" indent="1"/>
      <protection hidden="1"/>
    </xf>
    <xf numFmtId="0" fontId="89" fillId="3" borderId="16" xfId="0" applyFont="1" applyFill="1" applyBorder="1" applyAlignment="1" applyProtection="1">
      <alignment horizontal="left" vertical="center" wrapText="1" indent="1"/>
      <protection hidden="1"/>
    </xf>
    <xf numFmtId="0" fontId="64" fillId="0" borderId="0" xfId="0" applyFont="1" applyFill="1" applyBorder="1" applyAlignment="1" applyProtection="1">
      <alignment horizontal="left" vertical="top" wrapText="1"/>
      <protection hidden="1"/>
    </xf>
    <xf numFmtId="0" fontId="89" fillId="3" borderId="10" xfId="0" applyFont="1" applyFill="1" applyBorder="1" applyAlignment="1" applyProtection="1">
      <alignment horizontal="left" vertical="center" wrapText="1" indent="1"/>
      <protection hidden="1"/>
    </xf>
    <xf numFmtId="0" fontId="54" fillId="0" borderId="0" xfId="0" applyFont="1" applyAlignment="1" applyProtection="1">
      <alignment horizontal="left" vertical="top"/>
      <protection hidden="1"/>
    </xf>
    <xf numFmtId="0" fontId="47" fillId="7" borderId="14" xfId="0" applyFont="1" applyFill="1" applyBorder="1" applyAlignment="1" applyProtection="1">
      <alignment horizontal="center" vertical="center"/>
      <protection hidden="1"/>
    </xf>
    <xf numFmtId="0" fontId="47" fillId="7" borderId="18" xfId="0" applyFont="1" applyFill="1" applyBorder="1" applyAlignment="1" applyProtection="1">
      <alignment horizontal="center" vertical="center"/>
      <protection hidden="1"/>
    </xf>
    <xf numFmtId="0" fontId="47" fillId="7" borderId="17" xfId="0" applyFont="1" applyFill="1" applyBorder="1" applyAlignment="1" applyProtection="1">
      <alignment horizontal="center" vertical="center"/>
      <protection hidden="1"/>
    </xf>
    <xf numFmtId="0" fontId="47" fillId="7" borderId="20" xfId="0" applyFont="1" applyFill="1" applyBorder="1" applyAlignment="1" applyProtection="1">
      <alignment horizontal="center" vertical="center"/>
      <protection hidden="1"/>
    </xf>
    <xf numFmtId="0" fontId="47" fillId="7" borderId="22" xfId="0" applyFont="1" applyFill="1" applyBorder="1" applyAlignment="1" applyProtection="1">
      <alignment horizontal="center" vertical="center"/>
      <protection hidden="1"/>
    </xf>
    <xf numFmtId="0" fontId="47" fillId="7" borderId="21" xfId="0" applyFont="1" applyFill="1" applyBorder="1" applyAlignment="1" applyProtection="1">
      <alignment horizontal="center" vertical="center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27" fillId="24" borderId="22" xfId="0" applyFont="1" applyFill="1" applyBorder="1" applyAlignment="1" applyProtection="1">
      <alignment horizontal="left" vertical="top" indent="1"/>
      <protection locked="0"/>
    </xf>
    <xf numFmtId="0" fontId="46" fillId="4" borderId="25" xfId="0" applyFont="1" applyFill="1" applyBorder="1" applyAlignment="1" applyProtection="1">
      <alignment horizontal="center" vertical="top"/>
      <protection locked="0"/>
    </xf>
    <xf numFmtId="0" fontId="46" fillId="4" borderId="26" xfId="0" applyFont="1" applyFill="1" applyBorder="1" applyAlignment="1" applyProtection="1">
      <alignment horizontal="center" vertical="top"/>
      <protection locked="0"/>
    </xf>
    <xf numFmtId="0" fontId="24" fillId="7" borderId="10" xfId="0" applyFont="1" applyFill="1" applyBorder="1" applyAlignment="1" applyProtection="1">
      <alignment horizontal="center" vertical="top"/>
      <protection hidden="1"/>
    </xf>
    <xf numFmtId="0" fontId="24" fillId="7" borderId="0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24" fillId="24" borderId="22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7" fillId="4" borderId="0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wrapText="1" indent="1"/>
      <protection locked="0"/>
    </xf>
    <xf numFmtId="0" fontId="27" fillId="4" borderId="22" xfId="0" applyFont="1" applyFill="1" applyBorder="1" applyAlignment="1" applyProtection="1">
      <alignment horizontal="left" vertical="top" indent="1"/>
      <protection locked="0"/>
    </xf>
    <xf numFmtId="0" fontId="27" fillId="24" borderId="22" xfId="0" applyFont="1" applyFill="1" applyBorder="1" applyAlignment="1" applyProtection="1">
      <alignment horizontal="center" vertical="top"/>
      <protection locked="0"/>
    </xf>
    <xf numFmtId="0" fontId="33" fillId="7" borderId="10" xfId="0" applyFont="1" applyFill="1" applyBorder="1" applyAlignment="1" applyProtection="1">
      <alignment horizontal="center" vertical="top" wrapText="1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4" fillId="24" borderId="24" xfId="0" applyFont="1" applyFill="1" applyBorder="1" applyAlignment="1" applyProtection="1">
      <alignment horizontal="center" vertical="top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7" fillId="22" borderId="24" xfId="42" applyFill="1" applyBorder="1" applyAlignment="1" applyProtection="1">
      <alignment horizontal="left" vertical="top"/>
      <protection hidden="1"/>
    </xf>
    <xf numFmtId="0" fontId="7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73" fillId="0" borderId="0" xfId="0" applyFont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67" fillId="4" borderId="0" xfId="0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17" fillId="22" borderId="24" xfId="42" applyFill="1" applyBorder="1" applyAlignment="1" applyProtection="1">
      <alignment horizontal="center"/>
      <protection hidden="1"/>
    </xf>
    <xf numFmtId="0" fontId="68" fillId="22" borderId="25" xfId="42" applyFont="1" applyFill="1" applyBorder="1" applyAlignment="1" applyProtection="1">
      <alignment horizontal="center" vertical="top" wrapText="1"/>
      <protection hidden="1"/>
    </xf>
    <xf numFmtId="0" fontId="68" fillId="22" borderId="27" xfId="42" applyFont="1" applyFill="1" applyBorder="1" applyAlignment="1" applyProtection="1">
      <alignment horizontal="center" vertical="top" wrapText="1"/>
      <protection hidden="1"/>
    </xf>
    <xf numFmtId="0" fontId="68" fillId="22" borderId="26" xfId="42" applyFont="1" applyFill="1" applyBorder="1" applyAlignment="1" applyProtection="1">
      <alignment horizontal="center" vertical="top" wrapText="1"/>
      <protection hidden="1"/>
    </xf>
    <xf numFmtId="0" fontId="17" fillId="22" borderId="22" xfId="42" applyFill="1" applyBorder="1" applyAlignment="1" applyProtection="1">
      <alignment horizontal="left" vertical="top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24" borderId="24" xfId="0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4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4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4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76" fillId="0" borderId="0" xfId="0" applyFont="1" applyBorder="1" applyAlignment="1" applyProtection="1">
      <alignment horizontal="center" wrapText="1"/>
      <protection hidden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left" vertical="top" wrapText="1" indent="1"/>
      <protection hidden="1"/>
    </xf>
    <xf numFmtId="0" fontId="7" fillId="0" borderId="23" xfId="0" applyFont="1" applyBorder="1" applyAlignment="1" applyProtection="1">
      <alignment horizontal="left" vertical="top" wrapText="1" inden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7" fillId="0" borderId="24" xfId="0" applyFont="1" applyBorder="1" applyAlignment="1" applyProtection="1">
      <alignment horizontal="right" vertical="top" indent="1"/>
      <protection hidden="1"/>
    </xf>
    <xf numFmtId="0" fontId="27" fillId="0" borderId="24" xfId="0" applyFont="1" applyBorder="1" applyAlignment="1" applyProtection="1">
      <alignment horizontal="left" vertical="top" inden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7" fillId="0" borderId="24" xfId="0" applyFont="1" applyBorder="1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top" wrapTex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vertical="top" wrapText="1"/>
      <protection hidden="1"/>
    </xf>
    <xf numFmtId="0" fontId="48" fillId="0" borderId="16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76" fillId="0" borderId="18" xfId="0" applyFont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wrapText="1" indent="1"/>
      <protection hidden="1"/>
    </xf>
    <xf numFmtId="0" fontId="24" fillId="0" borderId="0" xfId="0" applyFont="1" applyAlignment="1" applyProtection="1">
      <alignment horizontal="left" indent="4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3" fontId="27" fillId="24" borderId="22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28725" y="152400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248</xdr:row>
      <xdr:rowOff>0</xdr:rowOff>
    </xdr:from>
    <xdr:to>
      <xdr:col>6</xdr:col>
      <xdr:colOff>0</xdr:colOff>
      <xdr:row>248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59502675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248</xdr:row>
      <xdr:rowOff>0</xdr:rowOff>
    </xdr:from>
    <xdr:to>
      <xdr:col>7</xdr:col>
      <xdr:colOff>552450</xdr:colOff>
      <xdr:row>248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59502675"/>
          <a:ext cx="1457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249</xdr:row>
      <xdr:rowOff>0</xdr:rowOff>
    </xdr:from>
    <xdr:to>
      <xdr:col>4</xdr:col>
      <xdr:colOff>657225</xdr:colOff>
      <xdr:row>249</xdr:row>
      <xdr:rowOff>0</xdr:rowOff>
    </xdr:to>
    <xdr:sp>
      <xdr:nvSpPr>
        <xdr:cNvPr id="4" name="Line 118"/>
        <xdr:cNvSpPr>
          <a:spLocks/>
        </xdr:cNvSpPr>
      </xdr:nvSpPr>
      <xdr:spPr>
        <a:xfrm>
          <a:off x="2619375" y="59807475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275</xdr:row>
      <xdr:rowOff>0</xdr:rowOff>
    </xdr:from>
    <xdr:to>
      <xdr:col>8</xdr:col>
      <xdr:colOff>876300</xdr:colOff>
      <xdr:row>275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645033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274</xdr:row>
      <xdr:rowOff>0</xdr:rowOff>
    </xdr:from>
    <xdr:to>
      <xdr:col>8</xdr:col>
      <xdr:colOff>876300</xdr:colOff>
      <xdr:row>274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643128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276</xdr:row>
      <xdr:rowOff>0</xdr:rowOff>
    </xdr:from>
    <xdr:to>
      <xdr:col>8</xdr:col>
      <xdr:colOff>876300</xdr:colOff>
      <xdr:row>276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64703325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266</xdr:row>
      <xdr:rowOff>180975</xdr:rowOff>
    </xdr:from>
    <xdr:to>
      <xdr:col>4</xdr:col>
      <xdr:colOff>571500</xdr:colOff>
      <xdr:row>266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33625" y="62893575"/>
          <a:ext cx="140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266</xdr:row>
      <xdr:rowOff>180975</xdr:rowOff>
    </xdr:from>
    <xdr:to>
      <xdr:col>8</xdr:col>
      <xdr:colOff>876300</xdr:colOff>
      <xdr:row>266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62893575"/>
          <a:ext cx="359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252</xdr:row>
      <xdr:rowOff>0</xdr:rowOff>
    </xdr:from>
    <xdr:to>
      <xdr:col>4</xdr:col>
      <xdr:colOff>466725</xdr:colOff>
      <xdr:row>252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60407550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252</xdr:row>
      <xdr:rowOff>0</xdr:rowOff>
    </xdr:from>
    <xdr:to>
      <xdr:col>8</xdr:col>
      <xdr:colOff>857250</xdr:colOff>
      <xdr:row>252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60407550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253</xdr:row>
      <xdr:rowOff>190500</xdr:rowOff>
    </xdr:from>
    <xdr:to>
      <xdr:col>4</xdr:col>
      <xdr:colOff>466725</xdr:colOff>
      <xdr:row>253</xdr:row>
      <xdr:rowOff>190500</xdr:rowOff>
    </xdr:to>
    <xdr:sp>
      <xdr:nvSpPr>
        <xdr:cNvPr id="12" name="Line 547"/>
        <xdr:cNvSpPr>
          <a:spLocks/>
        </xdr:cNvSpPr>
      </xdr:nvSpPr>
      <xdr:spPr>
        <a:xfrm>
          <a:off x="1857375" y="6079807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628650</xdr:colOff>
      <xdr:row>253</xdr:row>
      <xdr:rowOff>190500</xdr:rowOff>
    </xdr:from>
    <xdr:to>
      <xdr:col>8</xdr:col>
      <xdr:colOff>857250</xdr:colOff>
      <xdr:row>253</xdr:row>
      <xdr:rowOff>190500</xdr:rowOff>
    </xdr:to>
    <xdr:sp>
      <xdr:nvSpPr>
        <xdr:cNvPr id="13" name="Line 125"/>
        <xdr:cNvSpPr>
          <a:spLocks/>
        </xdr:cNvSpPr>
      </xdr:nvSpPr>
      <xdr:spPr>
        <a:xfrm>
          <a:off x="3800475" y="6079807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255</xdr:row>
      <xdr:rowOff>190500</xdr:rowOff>
    </xdr:from>
    <xdr:to>
      <xdr:col>4</xdr:col>
      <xdr:colOff>466725</xdr:colOff>
      <xdr:row>255</xdr:row>
      <xdr:rowOff>190500</xdr:rowOff>
    </xdr:to>
    <xdr:sp>
      <xdr:nvSpPr>
        <xdr:cNvPr id="14" name="Line 549"/>
        <xdr:cNvSpPr>
          <a:spLocks/>
        </xdr:cNvSpPr>
      </xdr:nvSpPr>
      <xdr:spPr>
        <a:xfrm>
          <a:off x="1857375" y="6119812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255</xdr:row>
      <xdr:rowOff>190500</xdr:rowOff>
    </xdr:from>
    <xdr:to>
      <xdr:col>8</xdr:col>
      <xdr:colOff>857250</xdr:colOff>
      <xdr:row>255</xdr:row>
      <xdr:rowOff>190500</xdr:rowOff>
    </xdr:to>
    <xdr:sp>
      <xdr:nvSpPr>
        <xdr:cNvPr id="15" name="Line 125"/>
        <xdr:cNvSpPr>
          <a:spLocks/>
        </xdr:cNvSpPr>
      </xdr:nvSpPr>
      <xdr:spPr>
        <a:xfrm>
          <a:off x="3810000" y="6119812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257</xdr:row>
      <xdr:rowOff>190500</xdr:rowOff>
    </xdr:from>
    <xdr:to>
      <xdr:col>4</xdr:col>
      <xdr:colOff>466725</xdr:colOff>
      <xdr:row>257</xdr:row>
      <xdr:rowOff>190500</xdr:rowOff>
    </xdr:to>
    <xdr:sp>
      <xdr:nvSpPr>
        <xdr:cNvPr id="16" name="Line 551"/>
        <xdr:cNvSpPr>
          <a:spLocks/>
        </xdr:cNvSpPr>
      </xdr:nvSpPr>
      <xdr:spPr>
        <a:xfrm>
          <a:off x="1857375" y="61407675"/>
          <a:ext cx="1781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257</xdr:row>
      <xdr:rowOff>190500</xdr:rowOff>
    </xdr:from>
    <xdr:to>
      <xdr:col>8</xdr:col>
      <xdr:colOff>857250</xdr:colOff>
      <xdr:row>257</xdr:row>
      <xdr:rowOff>190500</xdr:rowOff>
    </xdr:to>
    <xdr:sp>
      <xdr:nvSpPr>
        <xdr:cNvPr id="17" name="Line 125"/>
        <xdr:cNvSpPr>
          <a:spLocks/>
        </xdr:cNvSpPr>
      </xdr:nvSpPr>
      <xdr:spPr>
        <a:xfrm>
          <a:off x="3819525" y="61407675"/>
          <a:ext cx="3638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276</xdr:row>
      <xdr:rowOff>200025</xdr:rowOff>
    </xdr:from>
    <xdr:to>
      <xdr:col>8</xdr:col>
      <xdr:colOff>876300</xdr:colOff>
      <xdr:row>276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6490335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264</xdr:row>
      <xdr:rowOff>171450</xdr:rowOff>
    </xdr:from>
    <xdr:to>
      <xdr:col>8</xdr:col>
      <xdr:colOff>885825</xdr:colOff>
      <xdr:row>264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62484000"/>
          <a:ext cx="7410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190500</xdr:rowOff>
    </xdr:from>
    <xdr:to>
      <xdr:col>8</xdr:col>
      <xdr:colOff>876300</xdr:colOff>
      <xdr:row>10</xdr:row>
      <xdr:rowOff>190500</xdr:rowOff>
    </xdr:to>
    <xdr:sp>
      <xdr:nvSpPr>
        <xdr:cNvPr id="20" name="Line 54"/>
        <xdr:cNvSpPr>
          <a:spLocks/>
        </xdr:cNvSpPr>
      </xdr:nvSpPr>
      <xdr:spPr>
        <a:xfrm>
          <a:off x="1209675" y="1724025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0"/>
  <sheetViews>
    <sheetView showGridLines="0" showRowColHeaders="0" showZeros="0" tabSelected="1" showOutlineSymbols="0" zoomScalePageLayoutView="0" workbookViewId="0" topLeftCell="A1">
      <selection activeCell="H4" sqref="H4:I15"/>
    </sheetView>
  </sheetViews>
  <sheetFormatPr defaultColWidth="9.00390625" defaultRowHeight="12.75"/>
  <cols>
    <col min="1" max="1" width="30.125" style="4" customWidth="1"/>
    <col min="2" max="2" width="3.125" style="4" bestFit="1" customWidth="1"/>
    <col min="3" max="3" width="7.625" style="4" customWidth="1"/>
    <col min="4" max="4" width="5.875" style="4" customWidth="1"/>
    <col min="5" max="5" width="18.625" style="4" customWidth="1"/>
    <col min="6" max="6" width="7.375" style="4" customWidth="1"/>
    <col min="7" max="7" width="6.625" style="4" customWidth="1"/>
    <col min="8" max="8" width="7.375" style="4" customWidth="1"/>
    <col min="9" max="9" width="28.125" style="4" customWidth="1"/>
    <col min="10" max="10" width="11.125" style="4" customWidth="1"/>
    <col min="11" max="11" width="30.25390625" style="254" hidden="1" customWidth="1"/>
    <col min="12" max="12" width="14.00390625" style="253" hidden="1" customWidth="1"/>
    <col min="13" max="13" width="12.75390625" style="256" hidden="1" customWidth="1"/>
    <col min="14" max="17" width="0" style="4" hidden="1" customWidth="1"/>
    <col min="18" max="16384" width="9.125" style="4" customWidth="1"/>
  </cols>
  <sheetData>
    <row r="1" spans="1:10" ht="15.75">
      <c r="A1" s="489" t="str">
        <f>A79</f>
        <v>Введите данные в ячейки, выделенные голубым и зеленым цветом</v>
      </c>
      <c r="B1" s="490"/>
      <c r="C1" s="490"/>
      <c r="D1" s="490"/>
      <c r="E1" s="490"/>
      <c r="F1" s="490"/>
      <c r="G1" s="490"/>
      <c r="H1" s="490"/>
      <c r="I1" s="490"/>
      <c r="J1" s="393"/>
    </row>
    <row r="2" spans="1:10" ht="13.5" customHeight="1">
      <c r="A2" s="492"/>
      <c r="B2" s="493"/>
      <c r="C2" s="493"/>
      <c r="D2" s="493"/>
      <c r="E2" s="493"/>
      <c r="F2" s="493"/>
      <c r="G2" s="493"/>
      <c r="H2" s="493"/>
      <c r="I2" s="493"/>
      <c r="J2" s="389"/>
    </row>
    <row r="3" spans="1:10" ht="9" customHeight="1" thickBot="1">
      <c r="A3" s="370"/>
      <c r="B3" s="371"/>
      <c r="C3" s="371"/>
      <c r="D3" s="371"/>
      <c r="E3" s="371"/>
      <c r="F3" s="371"/>
      <c r="G3" s="371"/>
      <c r="H3" s="371"/>
      <c r="I3" s="371"/>
      <c r="J3" s="372"/>
    </row>
    <row r="4" spans="1:10" ht="16.5" thickBot="1">
      <c r="A4" s="373" t="s">
        <v>222</v>
      </c>
      <c r="B4" s="498">
        <v>1</v>
      </c>
      <c r="C4" s="499"/>
      <c r="D4" s="197"/>
      <c r="E4" s="353" t="str">
        <f aca="true" t="shared" si="0" ref="E4:E16">VLOOKUP(A83,$A$83:$H$95,$B$4+1)</f>
        <v>Балашиха</v>
      </c>
      <c r="F4" s="354"/>
      <c r="G4" s="173"/>
      <c r="H4" s="495" t="str">
        <f>"Экспертное заключение   
 "&amp;ЭЗ!A3</f>
        <v>Экспертное заключение   
 на социального педагога 
начального/ среднего профессионального образования (НПО/СПО)</v>
      </c>
      <c r="I4" s="495"/>
      <c r="J4" s="374"/>
    </row>
    <row r="5" spans="1:10" ht="10.5" customHeight="1">
      <c r="A5" s="375"/>
      <c r="B5" s="197"/>
      <c r="C5" s="197"/>
      <c r="D5" s="197"/>
      <c r="E5" s="355" t="str">
        <f t="shared" si="0"/>
        <v>Железнодорожный</v>
      </c>
      <c r="F5" s="356"/>
      <c r="G5" s="31"/>
      <c r="H5" s="495"/>
      <c r="I5" s="495"/>
      <c r="J5" s="374"/>
    </row>
    <row r="6" spans="1:10" ht="10.5" customHeight="1">
      <c r="A6" s="375"/>
      <c r="B6" s="197"/>
      <c r="C6" s="197"/>
      <c r="D6" s="197"/>
      <c r="E6" s="355" t="str">
        <f t="shared" si="0"/>
        <v>Ногинский</v>
      </c>
      <c r="F6" s="356"/>
      <c r="G6" s="31"/>
      <c r="H6" s="495"/>
      <c r="I6" s="495"/>
      <c r="J6" s="374"/>
    </row>
    <row r="7" spans="1:10" ht="10.5" customHeight="1">
      <c r="A7" s="375"/>
      <c r="B7" s="197"/>
      <c r="C7" s="197"/>
      <c r="D7" s="197"/>
      <c r="E7" s="355" t="str">
        <f t="shared" si="0"/>
        <v>Орехово-Зуево</v>
      </c>
      <c r="F7" s="356"/>
      <c r="G7" s="31"/>
      <c r="H7" s="495"/>
      <c r="I7" s="495"/>
      <c r="J7" s="374"/>
    </row>
    <row r="8" spans="1:10" ht="10.5" customHeight="1">
      <c r="A8" s="375"/>
      <c r="B8" s="197"/>
      <c r="C8" s="197"/>
      <c r="D8" s="197"/>
      <c r="E8" s="355" t="str">
        <f t="shared" si="0"/>
        <v>Орехово-Зуевский</v>
      </c>
      <c r="F8" s="356"/>
      <c r="G8" s="31"/>
      <c r="H8" s="495"/>
      <c r="I8" s="495"/>
      <c r="J8" s="374"/>
    </row>
    <row r="9" spans="1:10" ht="10.5" customHeight="1">
      <c r="A9" s="375"/>
      <c r="B9" s="197"/>
      <c r="C9" s="197"/>
      <c r="D9" s="197"/>
      <c r="E9" s="355" t="str">
        <f t="shared" si="0"/>
        <v>Павлово-Посадский</v>
      </c>
      <c r="F9" s="356"/>
      <c r="G9" s="31"/>
      <c r="H9" s="495"/>
      <c r="I9" s="495"/>
      <c r="J9" s="374"/>
    </row>
    <row r="10" spans="1:10" ht="10.5" customHeight="1">
      <c r="A10" s="375"/>
      <c r="B10" s="197"/>
      <c r="C10" s="197"/>
      <c r="D10" s="197"/>
      <c r="E10" s="355" t="str">
        <f t="shared" si="0"/>
        <v>Реутов</v>
      </c>
      <c r="F10" s="356"/>
      <c r="G10" s="31"/>
      <c r="H10" s="495"/>
      <c r="I10" s="495"/>
      <c r="J10" s="374"/>
    </row>
    <row r="11" spans="1:10" ht="10.5" customHeight="1">
      <c r="A11" s="375"/>
      <c r="B11" s="197"/>
      <c r="C11" s="197"/>
      <c r="D11" s="197"/>
      <c r="E11" s="355" t="str">
        <f t="shared" si="0"/>
        <v>Черноголовка</v>
      </c>
      <c r="F11" s="356"/>
      <c r="G11" s="31"/>
      <c r="H11" s="495"/>
      <c r="I11" s="495"/>
      <c r="J11" s="374"/>
    </row>
    <row r="12" spans="1:10" ht="10.5" customHeight="1">
      <c r="A12" s="375"/>
      <c r="B12" s="197"/>
      <c r="C12" s="197"/>
      <c r="D12" s="197"/>
      <c r="E12" s="355" t="str">
        <f t="shared" si="0"/>
        <v>Электрогорск</v>
      </c>
      <c r="F12" s="356"/>
      <c r="G12" s="31"/>
      <c r="H12" s="495"/>
      <c r="I12" s="495"/>
      <c r="J12" s="374"/>
    </row>
    <row r="13" spans="1:10" ht="10.5" customHeight="1">
      <c r="A13" s="375"/>
      <c r="B13" s="197"/>
      <c r="C13" s="197"/>
      <c r="D13" s="197"/>
      <c r="E13" s="355" t="str">
        <f t="shared" si="0"/>
        <v>Электросталь</v>
      </c>
      <c r="F13" s="356"/>
      <c r="G13" s="31"/>
      <c r="H13" s="495"/>
      <c r="I13" s="495"/>
      <c r="J13" s="374"/>
    </row>
    <row r="14" spans="1:10" ht="10.5" customHeight="1">
      <c r="A14" s="375"/>
      <c r="B14" s="197"/>
      <c r="C14" s="197"/>
      <c r="D14" s="197"/>
      <c r="E14" s="355">
        <f t="shared" si="0"/>
        <v>0</v>
      </c>
      <c r="F14" s="356"/>
      <c r="G14" s="31"/>
      <c r="H14" s="495"/>
      <c r="I14" s="495"/>
      <c r="J14" s="374"/>
    </row>
    <row r="15" spans="1:10" ht="10.5" customHeight="1">
      <c r="A15" s="375"/>
      <c r="B15" s="197"/>
      <c r="C15" s="197"/>
      <c r="D15" s="197"/>
      <c r="E15" s="355">
        <f t="shared" si="0"/>
        <v>0</v>
      </c>
      <c r="F15" s="356"/>
      <c r="G15" s="31"/>
      <c r="H15" s="495"/>
      <c r="I15" s="495"/>
      <c r="J15" s="374"/>
    </row>
    <row r="16" spans="1:10" ht="10.5" customHeight="1">
      <c r="A16" s="375"/>
      <c r="B16" s="31"/>
      <c r="C16" s="31"/>
      <c r="D16" s="31"/>
      <c r="E16" s="357">
        <f t="shared" si="0"/>
        <v>0</v>
      </c>
      <c r="F16" s="358"/>
      <c r="G16" s="31"/>
      <c r="H16" s="31"/>
      <c r="I16" s="31"/>
      <c r="J16" s="376"/>
    </row>
    <row r="17" spans="1:10" ht="15">
      <c r="A17" s="500" t="s">
        <v>122</v>
      </c>
      <c r="B17" s="501"/>
      <c r="C17" s="501"/>
      <c r="D17" s="501"/>
      <c r="E17" s="501"/>
      <c r="F17" s="501"/>
      <c r="G17" s="501"/>
      <c r="H17" s="501"/>
      <c r="I17" s="501"/>
      <c r="J17" s="377"/>
    </row>
    <row r="18" spans="1:13" ht="12.75">
      <c r="A18" s="375"/>
      <c r="B18" s="31"/>
      <c r="C18" s="31"/>
      <c r="D18" s="31"/>
      <c r="E18" s="31"/>
      <c r="F18" s="31"/>
      <c r="G18" s="31"/>
      <c r="H18" s="31"/>
      <c r="I18" s="31"/>
      <c r="J18" s="376"/>
      <c r="K18" s="254" t="s">
        <v>315</v>
      </c>
      <c r="L18" s="253" t="s">
        <v>316</v>
      </c>
      <c r="M18" s="256" t="s">
        <v>317</v>
      </c>
    </row>
    <row r="19" spans="1:13" ht="15">
      <c r="A19" s="505" t="s">
        <v>123</v>
      </c>
      <c r="B19" s="506"/>
      <c r="C19" s="497"/>
      <c r="D19" s="497"/>
      <c r="E19" s="497"/>
      <c r="F19" s="497"/>
      <c r="G19" s="497"/>
      <c r="H19" s="497"/>
      <c r="I19" s="497"/>
      <c r="J19" s="376"/>
      <c r="K19" s="255">
        <f>IF(LEN(L19)&gt;40,M19,L19)</f>
      </c>
      <c r="L19" s="253">
        <f>PROPER(TRIM(C19))</f>
      </c>
      <c r="M19" s="256">
        <f>IF(L19="","",LEFT(L19,(FIND(" ",L19)+1))&amp;"."&amp;MID(L19,FIND(" ",L19,FIND(" ",L19)+1)+1,1)&amp;".")</f>
      </c>
    </row>
    <row r="20" spans="1:11" ht="4.5" customHeight="1">
      <c r="A20" s="378"/>
      <c r="B20" s="196"/>
      <c r="C20" s="284"/>
      <c r="D20" s="284"/>
      <c r="E20" s="284"/>
      <c r="F20" s="284"/>
      <c r="G20" s="284"/>
      <c r="H20" s="284"/>
      <c r="I20" s="284"/>
      <c r="J20" s="376"/>
      <c r="K20" s="285"/>
    </row>
    <row r="21" spans="1:11" ht="15">
      <c r="A21" s="505" t="s">
        <v>124</v>
      </c>
      <c r="B21" s="506"/>
      <c r="C21" s="506"/>
      <c r="D21" s="510" t="s">
        <v>482</v>
      </c>
      <c r="E21" s="510"/>
      <c r="F21" s="510"/>
      <c r="G21" s="509" t="s">
        <v>70</v>
      </c>
      <c r="H21" s="509"/>
      <c r="I21" s="509"/>
      <c r="J21" s="376"/>
      <c r="K21" s="255"/>
    </row>
    <row r="22" spans="1:11" ht="5.25" customHeight="1">
      <c r="A22" s="378"/>
      <c r="B22" s="196"/>
      <c r="C22" s="284"/>
      <c r="D22" s="284"/>
      <c r="E22" s="284"/>
      <c r="F22" s="284"/>
      <c r="G22" s="284"/>
      <c r="H22" s="284"/>
      <c r="I22" s="284"/>
      <c r="J22" s="376"/>
      <c r="K22" s="285"/>
    </row>
    <row r="23" spans="1:10" ht="15">
      <c r="A23" s="505" t="s">
        <v>207</v>
      </c>
      <c r="B23" s="506"/>
      <c r="C23" s="507" t="s">
        <v>465</v>
      </c>
      <c r="D23" s="507"/>
      <c r="E23" s="507"/>
      <c r="F23" s="507"/>
      <c r="G23" s="507"/>
      <c r="H23" s="507"/>
      <c r="I23" s="507"/>
      <c r="J23" s="376"/>
    </row>
    <row r="24" spans="1:12" ht="30" customHeight="1">
      <c r="A24" s="512"/>
      <c r="B24" s="513"/>
      <c r="C24" s="508"/>
      <c r="D24" s="508"/>
      <c r="E24" s="508"/>
      <c r="F24" s="508"/>
      <c r="G24" s="508"/>
      <c r="H24" s="508"/>
      <c r="I24" s="508"/>
      <c r="J24" s="376"/>
      <c r="L24" s="270">
        <f>LEN(C23)</f>
        <v>193</v>
      </c>
    </row>
    <row r="25" spans="1:12" ht="4.5" customHeight="1">
      <c r="A25" s="359"/>
      <c r="B25" s="250"/>
      <c r="C25" s="286"/>
      <c r="D25" s="286"/>
      <c r="E25" s="286"/>
      <c r="F25" s="286"/>
      <c r="G25" s="286"/>
      <c r="H25" s="286"/>
      <c r="I25" s="286"/>
      <c r="J25" s="376"/>
      <c r="L25" s="270"/>
    </row>
    <row r="26" spans="1:12" ht="15">
      <c r="A26" s="505" t="s">
        <v>208</v>
      </c>
      <c r="B26" s="514"/>
      <c r="C26" s="708" t="s">
        <v>292</v>
      </c>
      <c r="D26" s="708"/>
      <c r="E26" s="708"/>
      <c r="F26" s="708"/>
      <c r="G26" s="708"/>
      <c r="H26" s="708"/>
      <c r="I26" s="198"/>
      <c r="J26" s="376"/>
      <c r="K26" s="4" t="str">
        <f>LOWER(TRIM(C26))</f>
        <v>социальный педагог</v>
      </c>
      <c r="L26" s="270">
        <f>LEN(K27)</f>
        <v>19</v>
      </c>
    </row>
    <row r="27" spans="1:12" ht="15" hidden="1">
      <c r="A27" s="378" t="e">
        <f>K28</f>
        <v>#REF!</v>
      </c>
      <c r="B27" s="279"/>
      <c r="C27" s="480"/>
      <c r="D27" s="480"/>
      <c r="E27" s="480"/>
      <c r="F27" s="480"/>
      <c r="G27" s="480"/>
      <c r="H27" s="480"/>
      <c r="I27" s="198"/>
      <c r="J27" s="376"/>
      <c r="K27" s="271" t="str">
        <f>IF(C26="",LOWER(TRIM(C27)),K26&amp;" "&amp;LOWER(TRIM(C27)))</f>
        <v>социальный педагог </v>
      </c>
      <c r="L27" s="270">
        <f>IF(C26="",0,1)</f>
        <v>1</v>
      </c>
    </row>
    <row r="28" spans="1:11" ht="18.75" hidden="1">
      <c r="A28" s="375"/>
      <c r="B28" s="35"/>
      <c r="C28" s="486" t="e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  <v>#REF!</v>
      </c>
      <c r="D28" s="486"/>
      <c r="E28" s="486"/>
      <c r="F28" s="486"/>
      <c r="G28" s="486"/>
      <c r="H28" s="486"/>
      <c r="I28" s="486"/>
      <c r="J28" s="376"/>
      <c r="K28" s="4" t="e">
        <f>IF(C26="","-",IF(VLOOKUP(C26,#REF!,3)="v","Специализация","-"))</f>
        <v>#REF!</v>
      </c>
    </row>
    <row r="29" spans="1:11" ht="4.5" customHeight="1">
      <c r="A29" s="378"/>
      <c r="B29" s="196"/>
      <c r="C29" s="31"/>
      <c r="D29" s="31"/>
      <c r="E29" s="31"/>
      <c r="F29" s="31"/>
      <c r="G29" s="31"/>
      <c r="H29" s="31"/>
      <c r="I29" s="31"/>
      <c r="J29" s="376"/>
      <c r="K29" s="271"/>
    </row>
    <row r="30" spans="1:11" ht="15" hidden="1">
      <c r="A30" s="379" t="str">
        <f>IF(OR(C26&lt;&gt;"",C27&lt;&gt;""),"В ЭЗ будет указана должность: ","")</f>
        <v>В ЭЗ будет указана должность: </v>
      </c>
      <c r="B30" s="280"/>
      <c r="C30" s="482" t="str">
        <f>K27</f>
        <v>социальный педагог </v>
      </c>
      <c r="D30" s="482"/>
      <c r="E30" s="482"/>
      <c r="F30" s="482"/>
      <c r="G30" s="482"/>
      <c r="H30" s="482"/>
      <c r="I30" s="482"/>
      <c r="J30" s="376"/>
      <c r="K30" s="271"/>
    </row>
    <row r="31" spans="1:11" ht="15" hidden="1">
      <c r="A31" s="380" t="str">
        <f>IF(D31="","","В ЭЗ будет указана квалификация:")</f>
        <v>В ЭЗ будет указана квалификация:</v>
      </c>
      <c r="B31" s="344"/>
      <c r="C31" s="345"/>
      <c r="D31" s="346" t="str">
        <f>IF(C26&lt;&gt;"",ЭЗ!K36,"")</f>
        <v>социального педагога</v>
      </c>
      <c r="E31" s="345"/>
      <c r="F31" s="281"/>
      <c r="G31" s="281"/>
      <c r="H31" s="281"/>
      <c r="I31" s="281"/>
      <c r="J31" s="376"/>
      <c r="K31" s="271"/>
    </row>
    <row r="32" spans="1:11" ht="15" hidden="1">
      <c r="A32" s="378"/>
      <c r="B32" s="196"/>
      <c r="C32" s="278"/>
      <c r="D32" s="278"/>
      <c r="E32" s="278"/>
      <c r="F32" s="278"/>
      <c r="G32" s="278"/>
      <c r="H32" s="272"/>
      <c r="I32" s="272"/>
      <c r="J32" s="376"/>
      <c r="K32" s="271"/>
    </row>
    <row r="33" spans="1:10" ht="12.75">
      <c r="A33" s="375"/>
      <c r="B33" s="31"/>
      <c r="C33" s="31"/>
      <c r="D33" s="31"/>
      <c r="E33" s="31"/>
      <c r="F33" s="31"/>
      <c r="G33" s="31"/>
      <c r="H33" s="31"/>
      <c r="I33" s="31"/>
      <c r="J33" s="376"/>
    </row>
    <row r="34" spans="1:10" ht="15">
      <c r="A34" s="505" t="s">
        <v>219</v>
      </c>
      <c r="B34" s="506"/>
      <c r="C34" s="506"/>
      <c r="D34" s="273">
        <v>2</v>
      </c>
      <c r="E34" s="274" t="s">
        <v>228</v>
      </c>
      <c r="F34" s="198"/>
      <c r="G34" s="198"/>
      <c r="H34" s="198"/>
      <c r="I34" s="198"/>
      <c r="J34" s="376"/>
    </row>
    <row r="35" spans="1:10" ht="15">
      <c r="A35" s="505" t="s">
        <v>220</v>
      </c>
      <c r="B35" s="506"/>
      <c r="C35" s="506"/>
      <c r="D35" s="515" t="s">
        <v>262</v>
      </c>
      <c r="E35" s="515"/>
      <c r="F35" s="479" t="s">
        <v>221</v>
      </c>
      <c r="G35" s="479"/>
      <c r="H35" s="479"/>
      <c r="I35" s="365"/>
      <c r="J35" s="376"/>
    </row>
    <row r="36" spans="1:10" ht="15">
      <c r="A36" s="378"/>
      <c r="B36" s="196"/>
      <c r="C36" s="196"/>
      <c r="D36" s="287"/>
      <c r="E36" s="287"/>
      <c r="F36" s="249"/>
      <c r="G36" s="249"/>
      <c r="H36" s="249"/>
      <c r="I36" s="360"/>
      <c r="J36" s="376"/>
    </row>
    <row r="37" spans="1:10" ht="15">
      <c r="A37" s="378" t="s">
        <v>125</v>
      </c>
      <c r="B37" s="196"/>
      <c r="C37" s="196"/>
      <c r="D37" s="483" t="s">
        <v>206</v>
      </c>
      <c r="E37" s="483"/>
      <c r="F37" s="93"/>
      <c r="G37" s="93"/>
      <c r="H37" s="93"/>
      <c r="I37" s="93"/>
      <c r="J37" s="376"/>
    </row>
    <row r="38" spans="1:10" ht="12.75">
      <c r="A38" s="375"/>
      <c r="B38" s="31"/>
      <c r="C38" s="31"/>
      <c r="D38" s="31"/>
      <c r="E38" s="31"/>
      <c r="F38" s="31"/>
      <c r="G38" s="31"/>
      <c r="H38" s="31"/>
      <c r="I38" s="31"/>
      <c r="J38" s="376"/>
    </row>
    <row r="39" spans="1:19" ht="29.25" customHeight="1">
      <c r="A39" s="511" t="s">
        <v>445</v>
      </c>
      <c r="B39" s="501"/>
      <c r="C39" s="501"/>
      <c r="D39" s="501"/>
      <c r="E39" s="501"/>
      <c r="F39" s="501"/>
      <c r="G39" s="501"/>
      <c r="H39" s="501"/>
      <c r="I39" s="501"/>
      <c r="J39" s="377"/>
      <c r="K39" s="381"/>
      <c r="L39" s="254"/>
      <c r="M39" s="253"/>
      <c r="N39" s="36"/>
      <c r="O39" s="36"/>
      <c r="P39" s="36"/>
      <c r="Q39" s="36"/>
      <c r="R39" s="36"/>
      <c r="S39" s="36"/>
    </row>
    <row r="40" spans="1:19" ht="15">
      <c r="A40" s="397"/>
      <c r="B40" s="398"/>
      <c r="C40" s="398"/>
      <c r="D40" s="398"/>
      <c r="E40" s="398"/>
      <c r="F40" s="398"/>
      <c r="G40" s="399"/>
      <c r="H40" s="399"/>
      <c r="I40" s="400"/>
      <c r="J40" s="401"/>
      <c r="K40" s="402"/>
      <c r="L40" s="254"/>
      <c r="M40" s="253"/>
      <c r="N40" s="36"/>
      <c r="O40" s="36"/>
      <c r="P40" s="36"/>
      <c r="Q40" s="36"/>
      <c r="R40" s="36"/>
      <c r="S40" s="36"/>
    </row>
    <row r="41" spans="1:19" ht="15">
      <c r="A41" s="378" t="s">
        <v>446</v>
      </c>
      <c r="B41" s="196"/>
      <c r="C41" s="196"/>
      <c r="D41" s="196"/>
      <c r="E41" s="196"/>
      <c r="F41" s="31"/>
      <c r="G41" s="504" t="s">
        <v>262</v>
      </c>
      <c r="H41" s="504"/>
      <c r="I41" s="404" t="s">
        <v>447</v>
      </c>
      <c r="J41" s="405"/>
      <c r="K41" s="375"/>
      <c r="L41" s="270"/>
      <c r="M41" s="406"/>
      <c r="N41" s="36"/>
      <c r="O41" s="36"/>
      <c r="P41" s="36"/>
      <c r="Q41" s="36"/>
      <c r="R41" s="36"/>
      <c r="S41" s="36"/>
    </row>
    <row r="42" spans="1:19" ht="15" customHeight="1">
      <c r="A42" s="502" t="s">
        <v>470</v>
      </c>
      <c r="B42" s="503"/>
      <c r="C42" s="503"/>
      <c r="D42" s="503"/>
      <c r="E42" s="503"/>
      <c r="F42" s="503"/>
      <c r="G42" s="504" t="s">
        <v>262</v>
      </c>
      <c r="H42" s="504"/>
      <c r="I42" s="404" t="s">
        <v>448</v>
      </c>
      <c r="J42" s="408"/>
      <c r="K42" s="375"/>
      <c r="L42" s="270"/>
      <c r="M42" s="409">
        <v>0</v>
      </c>
      <c r="N42" s="36"/>
      <c r="O42" s="36"/>
      <c r="P42" s="36"/>
      <c r="Q42" s="36"/>
      <c r="R42" s="36"/>
      <c r="S42" s="36"/>
    </row>
    <row r="43" spans="1:19" ht="15">
      <c r="A43" s="502"/>
      <c r="B43" s="503"/>
      <c r="C43" s="503"/>
      <c r="D43" s="503"/>
      <c r="E43" s="503"/>
      <c r="F43" s="503"/>
      <c r="G43" s="196"/>
      <c r="H43" s="196"/>
      <c r="I43" s="404"/>
      <c r="J43" s="410"/>
      <c r="K43" s="375"/>
      <c r="L43" s="270"/>
      <c r="M43" s="409"/>
      <c r="N43" s="36"/>
      <c r="O43" s="36"/>
      <c r="P43" s="36"/>
      <c r="Q43" s="36"/>
      <c r="R43" s="36"/>
      <c r="S43" s="36"/>
    </row>
    <row r="44" spans="1:19" ht="2.25" customHeight="1">
      <c r="A44" s="378"/>
      <c r="B44" s="196"/>
      <c r="C44" s="196"/>
      <c r="D44" s="196"/>
      <c r="E44" s="196"/>
      <c r="F44" s="31"/>
      <c r="G44" s="196"/>
      <c r="H44" s="196"/>
      <c r="I44" s="93"/>
      <c r="J44" s="410"/>
      <c r="K44" s="375"/>
      <c r="L44" s="270"/>
      <c r="M44" s="406"/>
      <c r="N44" s="36"/>
      <c r="O44" s="36"/>
      <c r="P44" s="36"/>
      <c r="Q44" s="36"/>
      <c r="R44" s="36"/>
      <c r="S44" s="36"/>
    </row>
    <row r="45" spans="1:19" ht="15">
      <c r="A45" s="378" t="s">
        <v>449</v>
      </c>
      <c r="B45" s="196"/>
      <c r="C45" s="196"/>
      <c r="D45" s="196"/>
      <c r="E45" s="196"/>
      <c r="F45" s="31"/>
      <c r="G45" s="504" t="s">
        <v>262</v>
      </c>
      <c r="H45" s="504"/>
      <c r="I45" s="404"/>
      <c r="J45" s="410"/>
      <c r="K45" s="375"/>
      <c r="L45" s="270"/>
      <c r="M45" s="409">
        <v>0</v>
      </c>
      <c r="N45" s="36"/>
      <c r="O45" s="36"/>
      <c r="P45" s="36"/>
      <c r="Q45" s="36"/>
      <c r="R45" s="36"/>
      <c r="S45" s="36"/>
    </row>
    <row r="46" spans="1:19" ht="15">
      <c r="A46" s="378" t="s">
        <v>450</v>
      </c>
      <c r="B46" s="196"/>
      <c r="C46" s="196"/>
      <c r="D46" s="196"/>
      <c r="E46" s="196"/>
      <c r="F46" s="31"/>
      <c r="G46" s="504" t="s">
        <v>262</v>
      </c>
      <c r="H46" s="504"/>
      <c r="I46" s="404" t="s">
        <v>452</v>
      </c>
      <c r="J46" s="405"/>
      <c r="K46" s="375"/>
      <c r="L46" s="270"/>
      <c r="M46" s="409">
        <v>0</v>
      </c>
      <c r="N46" s="36"/>
      <c r="O46" s="36"/>
      <c r="P46" s="36"/>
      <c r="Q46" s="36"/>
      <c r="R46" s="36"/>
      <c r="S46" s="36"/>
    </row>
    <row r="47" spans="1:19" ht="10.5" customHeight="1">
      <c r="A47" s="378"/>
      <c r="B47" s="196"/>
      <c r="C47" s="196"/>
      <c r="D47" s="196"/>
      <c r="E47" s="196"/>
      <c r="F47" s="31"/>
      <c r="G47" s="31"/>
      <c r="H47" s="31"/>
      <c r="I47" s="404"/>
      <c r="J47" s="410"/>
      <c r="K47" s="375"/>
      <c r="L47" s="270"/>
      <c r="M47" s="409"/>
      <c r="N47" s="36"/>
      <c r="O47" s="36"/>
      <c r="P47" s="36"/>
      <c r="Q47" s="36"/>
      <c r="R47" s="36"/>
      <c r="S47" s="36"/>
    </row>
    <row r="48" spans="1:19" ht="15">
      <c r="A48" s="378" t="str">
        <f>"Курсы повышения квалификации (не менее "&amp;D140&amp;"ч.)"</f>
        <v>Курсы повышения квалификации (не менее 72ч.)</v>
      </c>
      <c r="B48" s="196"/>
      <c r="C48" s="196"/>
      <c r="D48" s="196"/>
      <c r="E48" s="196"/>
      <c r="F48" s="31"/>
      <c r="G48" s="504" t="s">
        <v>262</v>
      </c>
      <c r="H48" s="504"/>
      <c r="I48" s="93"/>
      <c r="J48" s="410"/>
      <c r="K48" s="402"/>
      <c r="L48" s="270"/>
      <c r="M48" s="406"/>
      <c r="N48" s="36"/>
      <c r="O48" s="36"/>
      <c r="P48" s="36"/>
      <c r="Q48" s="36"/>
      <c r="R48" s="36"/>
      <c r="S48" s="36"/>
    </row>
    <row r="49" spans="1:14" ht="15" hidden="1">
      <c r="A49" s="411" t="s">
        <v>453</v>
      </c>
      <c r="B49" s="412" t="s">
        <v>454</v>
      </c>
      <c r="C49" s="31"/>
      <c r="D49" s="31"/>
      <c r="E49" s="31"/>
      <c r="F49" s="413" t="str">
        <f>IF(COUNTIF(G41:H48,"да"),"нет","да")</f>
        <v>да</v>
      </c>
      <c r="G49" s="31"/>
      <c r="H49" s="31"/>
      <c r="I49" s="31"/>
      <c r="J49" s="376"/>
      <c r="K49" s="414"/>
      <c r="L49" s="270"/>
      <c r="M49" s="415"/>
      <c r="N49" s="31"/>
    </row>
    <row r="50" spans="1:14" ht="12.75" hidden="1">
      <c r="A50" s="487" t="str">
        <f>IF(вывод1="да",_72ч,"")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50" s="484"/>
      <c r="C50" s="484"/>
      <c r="D50" s="484"/>
      <c r="E50" s="484"/>
      <c r="F50" s="484"/>
      <c r="G50" s="484"/>
      <c r="H50" s="484"/>
      <c r="I50" s="484"/>
      <c r="J50" s="485"/>
      <c r="K50" s="414"/>
      <c r="L50" s="270"/>
      <c r="M50" s="415"/>
      <c r="N50" s="31"/>
    </row>
    <row r="51" spans="1:14" ht="12.75" hidden="1">
      <c r="A51" s="487"/>
      <c r="B51" s="484"/>
      <c r="C51" s="484"/>
      <c r="D51" s="484"/>
      <c r="E51" s="484"/>
      <c r="F51" s="484"/>
      <c r="G51" s="484"/>
      <c r="H51" s="484"/>
      <c r="I51" s="484"/>
      <c r="J51" s="485"/>
      <c r="K51" s="414"/>
      <c r="L51" s="270"/>
      <c r="M51" s="415"/>
      <c r="N51" s="31"/>
    </row>
    <row r="52" spans="1:14" s="282" customFormat="1" ht="6" customHeight="1">
      <c r="A52" s="378"/>
      <c r="B52" s="196"/>
      <c r="C52" s="196"/>
      <c r="D52" s="196"/>
      <c r="E52" s="196"/>
      <c r="F52" s="196"/>
      <c r="G52" s="196"/>
      <c r="H52" s="196"/>
      <c r="I52" s="93"/>
      <c r="J52" s="410"/>
      <c r="K52" s="416"/>
      <c r="L52" s="417"/>
      <c r="M52" s="418"/>
      <c r="N52" s="419"/>
    </row>
    <row r="53" spans="1:19" ht="15" hidden="1">
      <c r="A53" s="511" t="s">
        <v>455</v>
      </c>
      <c r="B53" s="501"/>
      <c r="C53" s="501"/>
      <c r="D53" s="501"/>
      <c r="E53" s="501"/>
      <c r="F53" s="501"/>
      <c r="G53" s="501"/>
      <c r="H53" s="501"/>
      <c r="I53" s="501"/>
      <c r="J53" s="420"/>
      <c r="K53" s="416"/>
      <c r="L53" s="270"/>
      <c r="M53" s="418"/>
      <c r="N53" s="419"/>
      <c r="O53" s="282"/>
      <c r="P53" s="282"/>
      <c r="Q53" s="282"/>
      <c r="R53" s="282"/>
      <c r="S53" s="282"/>
    </row>
    <row r="54" spans="1:19" ht="5.25" customHeight="1" hidden="1">
      <c r="A54" s="421"/>
      <c r="B54" s="422"/>
      <c r="C54" s="422"/>
      <c r="D54" s="422"/>
      <c r="E54" s="422"/>
      <c r="F54" s="422"/>
      <c r="G54" s="422"/>
      <c r="H54" s="422"/>
      <c r="I54" s="422"/>
      <c r="J54" s="423"/>
      <c r="K54" s="416"/>
      <c r="L54" s="270"/>
      <c r="M54" s="418"/>
      <c r="N54" s="419"/>
      <c r="O54" s="282"/>
      <c r="P54" s="282"/>
      <c r="Q54" s="282"/>
      <c r="R54" s="282"/>
      <c r="S54" s="282"/>
    </row>
    <row r="55" spans="1:14" ht="15" customHeight="1" hidden="1">
      <c r="A55" s="502" t="s">
        <v>469</v>
      </c>
      <c r="B55" s="503"/>
      <c r="C55" s="503"/>
      <c r="D55" s="503"/>
      <c r="E55" s="503"/>
      <c r="F55" s="503"/>
      <c r="G55" s="503"/>
      <c r="H55" s="503"/>
      <c r="I55" s="31"/>
      <c r="J55" s="376"/>
      <c r="K55" s="424"/>
      <c r="M55" s="415"/>
      <c r="N55" s="31"/>
    </row>
    <row r="56" spans="1:12" ht="15.75" hidden="1">
      <c r="A56" s="502"/>
      <c r="B56" s="503"/>
      <c r="C56" s="503"/>
      <c r="D56" s="503"/>
      <c r="E56" s="503"/>
      <c r="F56" s="503"/>
      <c r="G56" s="503"/>
      <c r="H56" s="503"/>
      <c r="I56" s="403" t="s">
        <v>451</v>
      </c>
      <c r="J56" s="425" t="str">
        <f>IF(OR(G41="да",G42="да"),"да",рек2)</f>
        <v>да</v>
      </c>
      <c r="K56" s="414"/>
      <c r="L56" s="426"/>
    </row>
    <row r="57" spans="1:11" ht="15" hidden="1">
      <c r="A57" s="502"/>
      <c r="B57" s="503"/>
      <c r="C57" s="503"/>
      <c r="D57" s="503"/>
      <c r="E57" s="503"/>
      <c r="F57" s="503"/>
      <c r="G57" s="503"/>
      <c r="H57" s="503"/>
      <c r="I57" s="407"/>
      <c r="J57" s="382"/>
      <c r="K57" s="414"/>
    </row>
    <row r="58" spans="1:11" ht="15" customHeight="1" hidden="1">
      <c r="A58" s="502" t="s">
        <v>189</v>
      </c>
      <c r="B58" s="503"/>
      <c r="C58" s="503"/>
      <c r="D58" s="503"/>
      <c r="E58" s="503"/>
      <c r="F58" s="503"/>
      <c r="G58" s="503"/>
      <c r="H58" s="503"/>
      <c r="I58" s="403" t="s">
        <v>451</v>
      </c>
      <c r="J58" s="376"/>
      <c r="K58" s="414"/>
    </row>
    <row r="59" spans="1:11" ht="3.75" customHeight="1" hidden="1">
      <c r="A59" s="502"/>
      <c r="B59" s="503"/>
      <c r="C59" s="503"/>
      <c r="D59" s="503"/>
      <c r="E59" s="503"/>
      <c r="F59" s="503"/>
      <c r="G59" s="503"/>
      <c r="H59" s="503"/>
      <c r="I59" s="35"/>
      <c r="J59" s="410"/>
      <c r="K59" s="414"/>
    </row>
    <row r="60" spans="1:12" ht="15" hidden="1">
      <c r="A60" s="411" t="s">
        <v>453</v>
      </c>
      <c r="B60" s="412" t="s">
        <v>456</v>
      </c>
      <c r="C60" s="31"/>
      <c r="D60" s="31"/>
      <c r="E60" s="31"/>
      <c r="F60" s="413" t="str">
        <f>IF(J56="нет","да","нет")</f>
        <v>нет</v>
      </c>
      <c r="G60" s="31"/>
      <c r="H60" s="31"/>
      <c r="I60" s="31"/>
      <c r="J60" s="376"/>
      <c r="K60" s="414"/>
      <c r="L60" s="427"/>
    </row>
    <row r="61" spans="1:12" ht="12.75" customHeight="1" hidden="1">
      <c r="A61" s="487">
        <f>IF(J56="нет",_дпо,"")</f>
      </c>
      <c r="B61" s="484"/>
      <c r="C61" s="484"/>
      <c r="D61" s="484"/>
      <c r="E61" s="484"/>
      <c r="F61" s="484"/>
      <c r="G61" s="484"/>
      <c r="H61" s="484"/>
      <c r="I61" s="484"/>
      <c r="J61" s="485"/>
      <c r="K61" s="414"/>
      <c r="L61" s="427"/>
    </row>
    <row r="62" spans="1:12" ht="12.75" customHeight="1" hidden="1">
      <c r="A62" s="487">
        <f>IF(рек3="нет",_рек3,"")</f>
      </c>
      <c r="B62" s="484"/>
      <c r="C62" s="484"/>
      <c r="D62" s="484"/>
      <c r="E62" s="484"/>
      <c r="F62" s="484"/>
      <c r="G62" s="484"/>
      <c r="H62" s="484"/>
      <c r="I62" s="484"/>
      <c r="J62" s="485"/>
      <c r="K62" s="414"/>
      <c r="L62" s="427"/>
    </row>
    <row r="63" spans="1:11" ht="4.5" customHeight="1">
      <c r="A63" s="375"/>
      <c r="B63" s="31"/>
      <c r="C63" s="31"/>
      <c r="D63" s="31"/>
      <c r="E63" s="31"/>
      <c r="F63" s="31"/>
      <c r="G63" s="31"/>
      <c r="H63" s="31"/>
      <c r="I63" s="31"/>
      <c r="J63" s="376"/>
      <c r="K63" s="414"/>
    </row>
    <row r="64" spans="1:10" ht="15">
      <c r="A64" s="500" t="s">
        <v>213</v>
      </c>
      <c r="B64" s="501"/>
      <c r="C64" s="501"/>
      <c r="D64" s="501"/>
      <c r="E64" s="501"/>
      <c r="F64" s="501"/>
      <c r="G64" s="501"/>
      <c r="H64" s="501"/>
      <c r="I64" s="501"/>
      <c r="J64" s="377"/>
    </row>
    <row r="65" spans="1:13" s="282" customFormat="1" ht="15">
      <c r="A65" s="381"/>
      <c r="B65" s="287"/>
      <c r="C65" s="287"/>
      <c r="D65" s="287"/>
      <c r="E65" s="287"/>
      <c r="F65" s="287"/>
      <c r="G65" s="287"/>
      <c r="H65" s="287"/>
      <c r="I65" s="287"/>
      <c r="J65" s="382"/>
      <c r="K65" s="291"/>
      <c r="L65" s="292"/>
      <c r="M65" s="293"/>
    </row>
    <row r="66" spans="1:13" s="282" customFormat="1" ht="15">
      <c r="A66" s="383" t="s">
        <v>330</v>
      </c>
      <c r="B66" s="287"/>
      <c r="C66" s="287"/>
      <c r="D66" s="287"/>
      <c r="E66" s="287"/>
      <c r="F66" s="275">
        <v>2</v>
      </c>
      <c r="G66" s="287"/>
      <c r="H66" s="287"/>
      <c r="I66" s="287"/>
      <c r="J66" s="382"/>
      <c r="K66" s="291"/>
      <c r="L66" s="292"/>
      <c r="M66" s="293"/>
    </row>
    <row r="67" spans="1:10" ht="15">
      <c r="A67" s="373"/>
      <c r="B67" s="36"/>
      <c r="C67" s="36"/>
      <c r="D67" s="36"/>
      <c r="E67" s="36"/>
      <c r="F67" s="36"/>
      <c r="G67" s="36"/>
      <c r="H67" s="36"/>
      <c r="I67" s="36"/>
      <c r="J67" s="384"/>
    </row>
    <row r="68" spans="1:13" ht="15">
      <c r="A68" s="385" t="s">
        <v>197</v>
      </c>
      <c r="B68" s="36"/>
      <c r="C68" s="497"/>
      <c r="D68" s="497"/>
      <c r="E68" s="497"/>
      <c r="F68" s="497"/>
      <c r="G68" s="497"/>
      <c r="H68" s="497"/>
      <c r="I68" s="497"/>
      <c r="J68" s="395"/>
      <c r="K68" s="255">
        <f>IF(LEN(L68)&gt;40,M68,L68)</f>
      </c>
      <c r="L68" s="253">
        <f>PROPER(TRIM(C68))</f>
      </c>
      <c r="M68" s="256">
        <f>IF(L68="","",LEFT(L68,(FIND(" ",L68)+1))&amp;"."&amp;MID(L68,FIND(" ",L68,FIND(" ",L68)+1)+1,1)&amp;".")</f>
      </c>
    </row>
    <row r="69" spans="1:11" ht="18">
      <c r="A69" s="385"/>
      <c r="B69" s="36"/>
      <c r="C69" s="472" t="s">
        <v>204</v>
      </c>
      <c r="D69" s="472"/>
      <c r="E69" s="472"/>
      <c r="F69" s="472"/>
      <c r="G69" s="472"/>
      <c r="H69" s="472"/>
      <c r="I69" s="361"/>
      <c r="J69" s="396"/>
      <c r="K69" s="255"/>
    </row>
    <row r="70" spans="1:13" ht="18">
      <c r="A70" s="386" t="s">
        <v>209</v>
      </c>
      <c r="B70" s="296" t="s">
        <v>327</v>
      </c>
      <c r="C70" s="497"/>
      <c r="D70" s="497"/>
      <c r="E70" s="497"/>
      <c r="F70" s="497"/>
      <c r="G70" s="497"/>
      <c r="H70" s="497"/>
      <c r="I70" s="497"/>
      <c r="J70" s="396"/>
      <c r="K70" s="255">
        <f>IF(LEN(L70)&gt;40,M70,L70)</f>
      </c>
      <c r="L70" s="253">
        <f>PROPER(TRIM(C70))</f>
      </c>
      <c r="M70" s="256">
        <f>IF(L70="","",LEFT(L70,(FIND(" ",L70)+1))&amp;"."&amp;MID(L70,FIND(" ",L70,FIND(" ",L70)+1)+1,1)&amp;".")</f>
      </c>
    </row>
    <row r="71" spans="1:10" ht="18">
      <c r="A71" s="386"/>
      <c r="B71" s="296"/>
      <c r="C71" s="472" t="s">
        <v>204</v>
      </c>
      <c r="D71" s="472"/>
      <c r="E71" s="472"/>
      <c r="F71" s="472"/>
      <c r="G71" s="472"/>
      <c r="H71" s="472"/>
      <c r="I71" s="361"/>
      <c r="J71" s="396"/>
    </row>
    <row r="72" spans="1:13" ht="18">
      <c r="A72" s="386"/>
      <c r="B72" s="296" t="str">
        <f>IF($F$66&gt;1,"2)","")</f>
        <v>2)</v>
      </c>
      <c r="C72" s="497"/>
      <c r="D72" s="497"/>
      <c r="E72" s="497"/>
      <c r="F72" s="497"/>
      <c r="G72" s="497"/>
      <c r="H72" s="497"/>
      <c r="I72" s="497"/>
      <c r="J72" s="396"/>
      <c r="K72" s="255">
        <f>IF(LEN(L72)&gt;40,M72,L72)</f>
      </c>
      <c r="L72" s="253">
        <f>PROPER(TRIM(C72))</f>
      </c>
      <c r="M72" s="256">
        <f>IF(L72="","",LEFT(L72,(FIND(" ",L72)+1))&amp;"."&amp;MID(L72,FIND(" ",L72,FIND(" ",L72)+1)+1,1)&amp;".")</f>
      </c>
    </row>
    <row r="73" spans="1:10" ht="18">
      <c r="A73" s="386"/>
      <c r="B73" s="296"/>
      <c r="C73" s="496" t="s">
        <v>204</v>
      </c>
      <c r="D73" s="496"/>
      <c r="E73" s="496"/>
      <c r="F73" s="496"/>
      <c r="G73" s="496"/>
      <c r="H73" s="496"/>
      <c r="I73" s="361"/>
      <c r="J73" s="396"/>
    </row>
    <row r="74" spans="1:13" ht="18">
      <c r="A74" s="387"/>
      <c r="B74" s="296">
        <f>IF($F$66&gt;2,"3)","")</f>
      </c>
      <c r="C74" s="497"/>
      <c r="D74" s="497"/>
      <c r="E74" s="497"/>
      <c r="F74" s="497"/>
      <c r="G74" s="497"/>
      <c r="H74" s="497"/>
      <c r="I74" s="497"/>
      <c r="J74" s="396"/>
      <c r="K74" s="255">
        <f>IF(LEN(L74)&gt;40,M74,L74)</f>
      </c>
      <c r="L74" s="253">
        <f>PROPER(TRIM(C74))</f>
      </c>
      <c r="M74" s="256">
        <f>IF(L74="","",LEFT(L74,(FIND(" ",L74)+1))&amp;"."&amp;MID(L74,FIND(" ",L74,FIND(" ",L74)+1)+1,1)&amp;".")</f>
      </c>
    </row>
    <row r="75" spans="1:10" ht="18">
      <c r="A75" s="387"/>
      <c r="B75" s="174"/>
      <c r="C75" s="496" t="s">
        <v>204</v>
      </c>
      <c r="D75" s="496"/>
      <c r="E75" s="496"/>
      <c r="F75" s="496"/>
      <c r="G75" s="496"/>
      <c r="H75" s="496"/>
      <c r="I75" s="361"/>
      <c r="J75" s="396"/>
    </row>
    <row r="76" spans="1:10" ht="15">
      <c r="A76" s="375"/>
      <c r="B76" s="31"/>
      <c r="C76" s="31"/>
      <c r="D76" s="31"/>
      <c r="E76" s="31"/>
      <c r="F76" s="31"/>
      <c r="G76" s="31"/>
      <c r="H76" s="31"/>
      <c r="I76" s="31"/>
      <c r="J76" s="384"/>
    </row>
    <row r="77" spans="1:10" ht="15.75">
      <c r="A77" s="388" t="s">
        <v>211</v>
      </c>
      <c r="B77" s="159" t="s">
        <v>212</v>
      </c>
      <c r="C77" s="276">
        <v>18</v>
      </c>
      <c r="D77" s="150" t="s">
        <v>115</v>
      </c>
      <c r="E77" s="276" t="s">
        <v>443</v>
      </c>
      <c r="F77" s="160">
        <v>20</v>
      </c>
      <c r="G77" s="277">
        <v>13</v>
      </c>
      <c r="H77" s="362" t="s">
        <v>116</v>
      </c>
      <c r="J77" s="390"/>
    </row>
    <row r="78" spans="1:10" ht="12.75">
      <c r="A78" s="391"/>
      <c r="B78" s="392"/>
      <c r="C78" s="392"/>
      <c r="D78" s="392"/>
      <c r="E78" s="392"/>
      <c r="F78" s="392"/>
      <c r="G78" s="392"/>
      <c r="H78" s="392"/>
      <c r="I78" s="392"/>
      <c r="J78" s="358"/>
    </row>
    <row r="79" spans="1:11" ht="12.75">
      <c r="A79" s="489" t="str">
        <f>IF(SUM(ЭЗ!A280:A291)&lt;12,"Введите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79" s="490"/>
      <c r="C79" s="490"/>
      <c r="D79" s="490"/>
      <c r="E79" s="490"/>
      <c r="F79" s="490"/>
      <c r="G79" s="490"/>
      <c r="H79" s="490"/>
      <c r="I79" s="490"/>
      <c r="J79" s="491"/>
      <c r="K79" s="414"/>
    </row>
    <row r="80" spans="1:11" ht="12.75">
      <c r="A80" s="492"/>
      <c r="B80" s="493"/>
      <c r="C80" s="493"/>
      <c r="D80" s="493"/>
      <c r="E80" s="493"/>
      <c r="F80" s="493"/>
      <c r="G80" s="493"/>
      <c r="H80" s="493"/>
      <c r="I80" s="493"/>
      <c r="J80" s="494"/>
      <c r="K80" s="414"/>
    </row>
    <row r="81" ht="15.75" customHeight="1" hidden="1"/>
    <row r="82" spans="1:9" ht="12.75" hidden="1">
      <c r="A82" s="31"/>
      <c r="B82" s="366">
        <v>1</v>
      </c>
      <c r="C82" s="366">
        <v>2</v>
      </c>
      <c r="D82" s="366">
        <v>3</v>
      </c>
      <c r="E82" s="366">
        <v>4</v>
      </c>
      <c r="F82" s="366">
        <v>5</v>
      </c>
      <c r="G82" s="366">
        <v>6</v>
      </c>
      <c r="H82" s="366">
        <v>7</v>
      </c>
      <c r="I82" s="31"/>
    </row>
    <row r="83" spans="1:9" ht="15.75" hidden="1">
      <c r="A83" s="31">
        <v>1</v>
      </c>
      <c r="B83" s="175" t="s">
        <v>70</v>
      </c>
      <c r="C83" s="176" t="s">
        <v>83</v>
      </c>
      <c r="D83" s="177" t="s">
        <v>84</v>
      </c>
      <c r="E83" s="176" t="s">
        <v>91</v>
      </c>
      <c r="F83" s="175" t="s">
        <v>100</v>
      </c>
      <c r="G83" s="176" t="s">
        <v>104</v>
      </c>
      <c r="H83" s="175" t="s">
        <v>113</v>
      </c>
      <c r="I83" s="31"/>
    </row>
    <row r="84" spans="1:9" ht="15.75" hidden="1">
      <c r="A84" s="31">
        <v>2</v>
      </c>
      <c r="B84" s="175" t="s">
        <v>71</v>
      </c>
      <c r="C84" s="176" t="s">
        <v>78</v>
      </c>
      <c r="D84" s="177" t="s">
        <v>85</v>
      </c>
      <c r="E84" s="176" t="s">
        <v>93</v>
      </c>
      <c r="F84" s="175" t="s">
        <v>98</v>
      </c>
      <c r="G84" s="176" t="s">
        <v>105</v>
      </c>
      <c r="H84" s="175" t="s">
        <v>111</v>
      </c>
      <c r="I84" s="31"/>
    </row>
    <row r="85" spans="1:9" ht="15.75" hidden="1">
      <c r="A85" s="31">
        <v>3</v>
      </c>
      <c r="B85" s="175" t="s">
        <v>54</v>
      </c>
      <c r="C85" s="176" t="s">
        <v>81</v>
      </c>
      <c r="D85" s="177" t="s">
        <v>86</v>
      </c>
      <c r="E85" s="176" t="s">
        <v>92</v>
      </c>
      <c r="F85" s="175" t="s">
        <v>99</v>
      </c>
      <c r="G85" s="176" t="s">
        <v>103</v>
      </c>
      <c r="H85" s="175" t="s">
        <v>112</v>
      </c>
      <c r="I85" s="31"/>
    </row>
    <row r="86" spans="1:9" ht="15.75" hidden="1">
      <c r="A86" s="31">
        <v>4</v>
      </c>
      <c r="B86" s="175" t="s">
        <v>72</v>
      </c>
      <c r="C86" s="176" t="s">
        <v>80</v>
      </c>
      <c r="D86" s="177" t="s">
        <v>87</v>
      </c>
      <c r="E86" s="176" t="s">
        <v>94</v>
      </c>
      <c r="F86" s="175" t="s">
        <v>45</v>
      </c>
      <c r="G86" s="176" t="s">
        <v>106</v>
      </c>
      <c r="H86" s="175" t="s">
        <v>44</v>
      </c>
      <c r="I86" s="31"/>
    </row>
    <row r="87" spans="1:9" ht="15.75" hidden="1">
      <c r="A87" s="31">
        <v>5</v>
      </c>
      <c r="B87" s="175" t="s">
        <v>77</v>
      </c>
      <c r="C87" s="176" t="s">
        <v>432</v>
      </c>
      <c r="D87" s="177" t="s">
        <v>88</v>
      </c>
      <c r="E87" s="176" t="s">
        <v>95</v>
      </c>
      <c r="F87" s="175" t="s">
        <v>47</v>
      </c>
      <c r="G87" s="176" t="s">
        <v>110</v>
      </c>
      <c r="H87" s="175" t="s">
        <v>46</v>
      </c>
      <c r="I87" s="31"/>
    </row>
    <row r="88" spans="1:9" ht="15.75" hidden="1">
      <c r="A88" s="31">
        <v>6</v>
      </c>
      <c r="B88" s="175" t="s">
        <v>57</v>
      </c>
      <c r="C88" s="176" t="s">
        <v>79</v>
      </c>
      <c r="D88" s="177" t="s">
        <v>89</v>
      </c>
      <c r="E88" s="176" t="s">
        <v>52</v>
      </c>
      <c r="F88" s="175" t="s">
        <v>101</v>
      </c>
      <c r="G88" s="176" t="s">
        <v>107</v>
      </c>
      <c r="H88" s="175" t="s">
        <v>49</v>
      </c>
      <c r="I88" s="31"/>
    </row>
    <row r="89" spans="1:9" ht="15.75" hidden="1">
      <c r="A89" s="31">
        <v>7</v>
      </c>
      <c r="B89" s="175" t="s">
        <v>73</v>
      </c>
      <c r="C89" s="176" t="s">
        <v>48</v>
      </c>
      <c r="D89" s="177" t="s">
        <v>50</v>
      </c>
      <c r="E89" s="176" t="s">
        <v>60</v>
      </c>
      <c r="F89" s="175" t="s">
        <v>63</v>
      </c>
      <c r="G89" s="176" t="s">
        <v>108</v>
      </c>
      <c r="H89" s="175" t="s">
        <v>56</v>
      </c>
      <c r="I89" s="31"/>
    </row>
    <row r="90" spans="1:9" ht="15.75" hidden="1">
      <c r="A90" s="31">
        <v>8</v>
      </c>
      <c r="B90" s="175" t="s">
        <v>74</v>
      </c>
      <c r="C90" s="176" t="s">
        <v>51</v>
      </c>
      <c r="D90" s="177" t="s">
        <v>58</v>
      </c>
      <c r="E90" s="176" t="s">
        <v>61</v>
      </c>
      <c r="F90" s="175" t="s">
        <v>65</v>
      </c>
      <c r="G90" s="176" t="s">
        <v>109</v>
      </c>
      <c r="H90" s="175" t="s">
        <v>114</v>
      </c>
      <c r="I90" s="31"/>
    </row>
    <row r="91" spans="1:9" ht="15.75" hidden="1">
      <c r="A91" s="31">
        <v>9</v>
      </c>
      <c r="B91" s="175" t="s">
        <v>75</v>
      </c>
      <c r="C91" s="176" t="s">
        <v>82</v>
      </c>
      <c r="D91" s="177" t="s">
        <v>90</v>
      </c>
      <c r="E91" s="176" t="s">
        <v>96</v>
      </c>
      <c r="F91" s="175" t="s">
        <v>102</v>
      </c>
      <c r="G91" s="176" t="s">
        <v>62</v>
      </c>
      <c r="H91" s="175" t="s">
        <v>64</v>
      </c>
      <c r="I91" s="31"/>
    </row>
    <row r="92" spans="1:9" ht="15.75" hidden="1">
      <c r="A92" s="31">
        <v>10</v>
      </c>
      <c r="B92" s="175" t="s">
        <v>76</v>
      </c>
      <c r="C92" s="176" t="s">
        <v>53</v>
      </c>
      <c r="D92" s="177" t="s">
        <v>67</v>
      </c>
      <c r="E92" s="176" t="s">
        <v>69</v>
      </c>
      <c r="F92" s="260"/>
      <c r="G92" s="176" t="s">
        <v>66</v>
      </c>
      <c r="H92" s="31"/>
      <c r="I92" s="31"/>
    </row>
    <row r="93" spans="1:9" ht="15.75" hidden="1">
      <c r="A93" s="31">
        <v>11</v>
      </c>
      <c r="B93" s="31"/>
      <c r="C93" s="176" t="s">
        <v>55</v>
      </c>
      <c r="D93" s="260"/>
      <c r="E93" s="176" t="s">
        <v>97</v>
      </c>
      <c r="F93" s="260"/>
      <c r="G93" s="31"/>
      <c r="H93" s="31"/>
      <c r="I93" s="31"/>
    </row>
    <row r="94" spans="1:9" ht="15.75" hidden="1">
      <c r="A94" s="31">
        <v>12</v>
      </c>
      <c r="B94" s="31"/>
      <c r="C94" s="176" t="s">
        <v>59</v>
      </c>
      <c r="D94" s="260"/>
      <c r="E94" s="260"/>
      <c r="F94" s="260"/>
      <c r="G94" s="176"/>
      <c r="H94" s="31"/>
      <c r="I94" s="31"/>
    </row>
    <row r="95" spans="1:9" ht="15.75" hidden="1">
      <c r="A95" s="31">
        <v>13</v>
      </c>
      <c r="B95" s="31"/>
      <c r="C95" s="176" t="s">
        <v>68</v>
      </c>
      <c r="D95" s="31"/>
      <c r="E95" s="31"/>
      <c r="F95" s="31"/>
      <c r="G95" s="31"/>
      <c r="H95" s="31"/>
      <c r="I95" s="31"/>
    </row>
    <row r="96" spans="1:9" ht="12.75" hidden="1">
      <c r="A96" s="31"/>
      <c r="B96" s="31"/>
      <c r="C96" s="260"/>
      <c r="D96" s="260"/>
      <c r="E96" s="260"/>
      <c r="F96" s="31"/>
      <c r="G96" s="31"/>
      <c r="H96" s="31"/>
      <c r="I96" s="31"/>
    </row>
    <row r="97" spans="1:9" ht="12.75" hidden="1">
      <c r="A97" s="31"/>
      <c r="B97" s="31"/>
      <c r="C97" s="260"/>
      <c r="D97" s="260"/>
      <c r="E97" s="260"/>
      <c r="F97" s="31"/>
      <c r="G97" s="31"/>
      <c r="H97" s="31"/>
      <c r="I97" s="31"/>
    </row>
    <row r="98" spans="1:10" ht="6.75" customHeight="1">
      <c r="A98" s="367"/>
      <c r="B98" s="367"/>
      <c r="C98" s="368"/>
      <c r="D98" s="368"/>
      <c r="E98" s="368"/>
      <c r="F98" s="367"/>
      <c r="G98" s="367"/>
      <c r="H98" s="367"/>
      <c r="I98" s="367"/>
      <c r="J98" s="349"/>
    </row>
    <row r="99" spans="1:13" s="305" customFormat="1" ht="23.25" customHeight="1">
      <c r="A99" s="481" t="s">
        <v>332</v>
      </c>
      <c r="B99" s="478"/>
      <c r="C99" s="478"/>
      <c r="D99" s="478"/>
      <c r="E99" s="478"/>
      <c r="F99" s="478"/>
      <c r="G99" s="478"/>
      <c r="H99" s="478"/>
      <c r="I99" s="478"/>
      <c r="J99" s="394"/>
      <c r="K99" s="428"/>
      <c r="L99" s="303"/>
      <c r="M99" s="304"/>
    </row>
    <row r="100" spans="1:11" ht="42" customHeight="1" hidden="1">
      <c r="A100" s="429" t="s">
        <v>322</v>
      </c>
      <c r="B100" s="462" t="s">
        <v>324</v>
      </c>
      <c r="C100" s="462"/>
      <c r="D100" s="462" t="s">
        <v>321</v>
      </c>
      <c r="E100" s="462"/>
      <c r="F100" s="258"/>
      <c r="G100" s="258"/>
      <c r="H100" s="289" t="s">
        <v>318</v>
      </c>
      <c r="I100" s="369"/>
      <c r="J100" s="430"/>
      <c r="K100" s="414"/>
    </row>
    <row r="101" spans="1:11" ht="12.75" hidden="1">
      <c r="A101" s="431"/>
      <c r="B101" s="31"/>
      <c r="C101" s="260"/>
      <c r="D101" s="283"/>
      <c r="E101" s="283"/>
      <c r="F101" s="31"/>
      <c r="G101" s="31"/>
      <c r="H101" s="289"/>
      <c r="I101" s="369"/>
      <c r="J101" s="430"/>
      <c r="K101" s="414"/>
    </row>
    <row r="102" spans="1:11" ht="12.75" hidden="1">
      <c r="A102" s="432" t="s">
        <v>283</v>
      </c>
      <c r="B102" s="258"/>
      <c r="C102" s="259"/>
      <c r="D102" s="257" t="s">
        <v>286</v>
      </c>
      <c r="E102" s="257"/>
      <c r="F102" s="258"/>
      <c r="G102" s="258"/>
      <c r="H102" s="290">
        <f aca="true" t="shared" si="1" ref="H102:H134">LEN(D102)</f>
        <v>11</v>
      </c>
      <c r="I102" s="369"/>
      <c r="J102" s="430"/>
      <c r="K102" s="414"/>
    </row>
    <row r="103" spans="1:11" ht="12.75" hidden="1">
      <c r="A103" s="432" t="s">
        <v>298</v>
      </c>
      <c r="B103" s="258"/>
      <c r="C103" s="259"/>
      <c r="D103" s="257" t="s">
        <v>301</v>
      </c>
      <c r="E103" s="257"/>
      <c r="F103" s="258"/>
      <c r="G103" s="258"/>
      <c r="H103" s="290">
        <f t="shared" si="1"/>
        <v>15</v>
      </c>
      <c r="I103" s="369"/>
      <c r="J103" s="430"/>
      <c r="K103" s="414"/>
    </row>
    <row r="104" spans="1:11" ht="12.75" hidden="1">
      <c r="A104" s="432" t="s">
        <v>285</v>
      </c>
      <c r="B104" s="258"/>
      <c r="C104" s="259"/>
      <c r="D104" s="257" t="s">
        <v>287</v>
      </c>
      <c r="E104" s="257"/>
      <c r="F104" s="258"/>
      <c r="G104" s="258"/>
      <c r="H104" s="290">
        <f t="shared" si="1"/>
        <v>11</v>
      </c>
      <c r="I104" s="369"/>
      <c r="J104" s="430"/>
      <c r="K104" s="414"/>
    </row>
    <row r="105" spans="1:11" ht="12.75" hidden="1">
      <c r="A105" s="432" t="s">
        <v>304</v>
      </c>
      <c r="B105" s="258"/>
      <c r="C105" s="259"/>
      <c r="D105" s="257" t="s">
        <v>4</v>
      </c>
      <c r="E105" s="257"/>
      <c r="F105" s="258"/>
      <c r="G105" s="258"/>
      <c r="H105" s="290">
        <f t="shared" si="1"/>
        <v>20</v>
      </c>
      <c r="I105" s="369"/>
      <c r="J105" s="430"/>
      <c r="K105" s="414"/>
    </row>
    <row r="106" spans="1:11" ht="12.75" hidden="1">
      <c r="A106" s="432" t="s">
        <v>305</v>
      </c>
      <c r="B106" s="258"/>
      <c r="C106" s="259"/>
      <c r="D106" s="257" t="s">
        <v>5</v>
      </c>
      <c r="E106" s="257"/>
      <c r="F106" s="258"/>
      <c r="G106" s="258"/>
      <c r="H106" s="290">
        <f t="shared" si="1"/>
        <v>28</v>
      </c>
      <c r="I106" s="369"/>
      <c r="J106" s="430"/>
      <c r="K106" s="414"/>
    </row>
    <row r="107" spans="1:11" ht="12.75" hidden="1">
      <c r="A107" s="432" t="s">
        <v>2</v>
      </c>
      <c r="B107" s="258"/>
      <c r="C107" s="259"/>
      <c r="D107" s="257" t="s">
        <v>6</v>
      </c>
      <c r="E107" s="257"/>
      <c r="F107" s="258"/>
      <c r="G107" s="258"/>
      <c r="H107" s="290">
        <f t="shared" si="1"/>
        <v>29</v>
      </c>
      <c r="I107" s="369"/>
      <c r="J107" s="430"/>
      <c r="K107" s="414"/>
    </row>
    <row r="108" spans="1:11" ht="12.75" hidden="1">
      <c r="A108" s="432" t="s">
        <v>306</v>
      </c>
      <c r="B108" s="258"/>
      <c r="C108" s="259"/>
      <c r="D108" s="257" t="s">
        <v>7</v>
      </c>
      <c r="E108" s="257"/>
      <c r="F108" s="258"/>
      <c r="G108" s="258"/>
      <c r="H108" s="290">
        <f t="shared" si="1"/>
        <v>21</v>
      </c>
      <c r="I108" s="369"/>
      <c r="J108" s="430"/>
      <c r="K108" s="414"/>
    </row>
    <row r="109" spans="1:11" ht="12.75" hidden="1">
      <c r="A109" s="432" t="s">
        <v>307</v>
      </c>
      <c r="B109" s="258"/>
      <c r="C109" s="259"/>
      <c r="D109" s="257" t="s">
        <v>8</v>
      </c>
      <c r="E109" s="259"/>
      <c r="F109" s="258"/>
      <c r="G109" s="258"/>
      <c r="H109" s="290">
        <f t="shared" si="1"/>
        <v>15</v>
      </c>
      <c r="I109" s="369"/>
      <c r="J109" s="430"/>
      <c r="K109" s="414"/>
    </row>
    <row r="110" spans="1:11" ht="12.75" hidden="1">
      <c r="A110" s="432" t="s">
        <v>294</v>
      </c>
      <c r="B110" s="258"/>
      <c r="C110" s="259"/>
      <c r="D110" s="257" t="s">
        <v>295</v>
      </c>
      <c r="E110" s="259"/>
      <c r="F110" s="258"/>
      <c r="G110" s="258"/>
      <c r="H110" s="290">
        <f t="shared" si="1"/>
        <v>8</v>
      </c>
      <c r="I110" s="369"/>
      <c r="J110" s="430"/>
      <c r="K110" s="414"/>
    </row>
    <row r="111" spans="1:11" ht="12.75" hidden="1">
      <c r="A111" s="432" t="s">
        <v>3</v>
      </c>
      <c r="B111" s="258"/>
      <c r="C111" s="258"/>
      <c r="D111" s="257" t="s">
        <v>9</v>
      </c>
      <c r="E111" s="259"/>
      <c r="F111" s="258"/>
      <c r="G111" s="258"/>
      <c r="H111" s="290">
        <f t="shared" si="1"/>
        <v>13</v>
      </c>
      <c r="I111" s="369"/>
      <c r="J111" s="430"/>
      <c r="K111" s="414"/>
    </row>
    <row r="112" spans="1:11" ht="12.75" hidden="1">
      <c r="A112" s="432" t="s">
        <v>314</v>
      </c>
      <c r="B112" s="258"/>
      <c r="C112" s="258"/>
      <c r="D112" s="257" t="s">
        <v>10</v>
      </c>
      <c r="E112" s="259"/>
      <c r="F112" s="258"/>
      <c r="G112" s="258"/>
      <c r="H112" s="290">
        <f t="shared" si="1"/>
        <v>9</v>
      </c>
      <c r="I112" s="369"/>
      <c r="J112" s="430"/>
      <c r="K112" s="414"/>
    </row>
    <row r="113" spans="1:11" ht="12.75" hidden="1">
      <c r="A113" s="432" t="s">
        <v>308</v>
      </c>
      <c r="B113" s="258"/>
      <c r="C113" s="258"/>
      <c r="D113" s="257" t="s">
        <v>11</v>
      </c>
      <c r="E113" s="259"/>
      <c r="F113" s="258"/>
      <c r="G113" s="258"/>
      <c r="H113" s="290">
        <f t="shared" si="1"/>
        <v>25</v>
      </c>
      <c r="I113" s="369"/>
      <c r="J113" s="430"/>
      <c r="K113" s="414"/>
    </row>
    <row r="114" spans="1:11" ht="12.75" hidden="1">
      <c r="A114" s="432" t="s">
        <v>299</v>
      </c>
      <c r="B114" s="258"/>
      <c r="C114" s="258" t="s">
        <v>323</v>
      </c>
      <c r="D114" s="257" t="s">
        <v>300</v>
      </c>
      <c r="E114" s="259"/>
      <c r="F114" s="258"/>
      <c r="G114" s="258"/>
      <c r="H114" s="290">
        <f t="shared" si="1"/>
        <v>8</v>
      </c>
      <c r="I114" s="369"/>
      <c r="J114" s="430"/>
      <c r="K114" s="414"/>
    </row>
    <row r="115" spans="1:11" ht="12.75" hidden="1">
      <c r="A115" s="432" t="s">
        <v>309</v>
      </c>
      <c r="B115" s="258"/>
      <c r="C115" s="258"/>
      <c r="D115" s="257" t="s">
        <v>13</v>
      </c>
      <c r="E115" s="259"/>
      <c r="F115" s="258"/>
      <c r="G115" s="258"/>
      <c r="H115" s="290">
        <f t="shared" si="1"/>
        <v>25</v>
      </c>
      <c r="I115" s="369"/>
      <c r="J115" s="430"/>
      <c r="K115" s="414"/>
    </row>
    <row r="116" spans="1:11" ht="12.75" hidden="1">
      <c r="A116" s="432" t="s">
        <v>310</v>
      </c>
      <c r="B116" s="258"/>
      <c r="C116" s="258"/>
      <c r="D116" s="257" t="s">
        <v>12</v>
      </c>
      <c r="E116" s="259"/>
      <c r="F116" s="258"/>
      <c r="G116" s="258"/>
      <c r="H116" s="290">
        <f t="shared" si="1"/>
        <v>21</v>
      </c>
      <c r="I116" s="369"/>
      <c r="J116" s="430"/>
      <c r="K116" s="414"/>
    </row>
    <row r="117" spans="1:11" ht="12.75" hidden="1">
      <c r="A117" s="432" t="s">
        <v>311</v>
      </c>
      <c r="B117" s="258"/>
      <c r="C117" s="258"/>
      <c r="D117" s="257" t="s">
        <v>14</v>
      </c>
      <c r="E117" s="257"/>
      <c r="F117" s="258"/>
      <c r="G117" s="258"/>
      <c r="H117" s="290">
        <f t="shared" si="1"/>
        <v>18</v>
      </c>
      <c r="I117" s="369"/>
      <c r="J117" s="430"/>
      <c r="K117" s="414"/>
    </row>
    <row r="118" spans="1:11" ht="12.75" hidden="1">
      <c r="A118" s="432" t="s">
        <v>290</v>
      </c>
      <c r="B118" s="258"/>
      <c r="C118" s="258" t="s">
        <v>323</v>
      </c>
      <c r="D118" s="257" t="s">
        <v>291</v>
      </c>
      <c r="E118" s="259"/>
      <c r="F118" s="258"/>
      <c r="G118" s="258"/>
      <c r="H118" s="290">
        <f t="shared" si="1"/>
        <v>13</v>
      </c>
      <c r="I118" s="369"/>
      <c r="J118" s="430"/>
      <c r="K118" s="414"/>
    </row>
    <row r="119" spans="1:11" ht="12.75" hidden="1">
      <c r="A119" s="432" t="s">
        <v>319</v>
      </c>
      <c r="B119" s="258"/>
      <c r="C119" s="258" t="s">
        <v>323</v>
      </c>
      <c r="D119" s="257" t="s">
        <v>320</v>
      </c>
      <c r="E119" s="259"/>
      <c r="F119" s="258"/>
      <c r="G119" s="258"/>
      <c r="H119" s="290">
        <f t="shared" si="1"/>
        <v>27</v>
      </c>
      <c r="I119" s="369"/>
      <c r="J119" s="430"/>
      <c r="K119" s="414"/>
    </row>
    <row r="120" spans="1:11" ht="12.75" hidden="1">
      <c r="A120" s="432" t="s">
        <v>296</v>
      </c>
      <c r="B120" s="258"/>
      <c r="C120" s="258"/>
      <c r="D120" s="257" t="s">
        <v>297</v>
      </c>
      <c r="E120" s="259"/>
      <c r="F120" s="258"/>
      <c r="G120" s="258"/>
      <c r="H120" s="290">
        <f t="shared" si="1"/>
        <v>9</v>
      </c>
      <c r="I120" s="369"/>
      <c r="J120" s="430"/>
      <c r="K120" s="414"/>
    </row>
    <row r="121" spans="1:11" ht="12.75" hidden="1">
      <c r="A121" s="432" t="s">
        <v>302</v>
      </c>
      <c r="B121" s="258"/>
      <c r="C121" s="258"/>
      <c r="D121" s="257" t="s">
        <v>303</v>
      </c>
      <c r="E121" s="259"/>
      <c r="F121" s="258"/>
      <c r="G121" s="258"/>
      <c r="H121" s="290">
        <f t="shared" si="1"/>
        <v>28</v>
      </c>
      <c r="I121" s="369"/>
      <c r="J121" s="430"/>
      <c r="K121" s="414"/>
    </row>
    <row r="122" spans="1:11" ht="12.75" hidden="1">
      <c r="A122" s="432" t="s">
        <v>292</v>
      </c>
      <c r="B122" s="258"/>
      <c r="C122" s="258"/>
      <c r="D122" s="257" t="s">
        <v>293</v>
      </c>
      <c r="E122" s="259"/>
      <c r="F122" s="258"/>
      <c r="G122" s="258"/>
      <c r="H122" s="290">
        <f t="shared" si="1"/>
        <v>20</v>
      </c>
      <c r="I122" s="369"/>
      <c r="J122" s="430"/>
      <c r="K122" s="414"/>
    </row>
    <row r="123" spans="1:11" ht="12.75" hidden="1">
      <c r="A123" s="432" t="s">
        <v>284</v>
      </c>
      <c r="B123" s="258"/>
      <c r="C123" s="258"/>
      <c r="D123" s="257" t="s">
        <v>288</v>
      </c>
      <c r="E123" s="259"/>
      <c r="F123" s="258"/>
      <c r="G123" s="258"/>
      <c r="H123" s="290">
        <f t="shared" si="1"/>
        <v>20</v>
      </c>
      <c r="I123" s="369"/>
      <c r="J123" s="430"/>
      <c r="K123" s="414"/>
    </row>
    <row r="124" spans="1:11" ht="12.75" hidden="1">
      <c r="A124" s="432" t="s">
        <v>0</v>
      </c>
      <c r="B124" s="258"/>
      <c r="C124" s="258" t="s">
        <v>323</v>
      </c>
      <c r="D124" s="257" t="s">
        <v>15</v>
      </c>
      <c r="E124" s="259"/>
      <c r="F124" s="258"/>
      <c r="G124" s="258"/>
      <c r="H124" s="290">
        <f t="shared" si="1"/>
        <v>7</v>
      </c>
      <c r="I124" s="369"/>
      <c r="J124" s="430"/>
      <c r="K124" s="414"/>
    </row>
    <row r="125" spans="1:11" ht="12.75" hidden="1">
      <c r="A125" s="432" t="s">
        <v>312</v>
      </c>
      <c r="B125" s="258"/>
      <c r="C125" s="258" t="s">
        <v>323</v>
      </c>
      <c r="D125" s="257" t="s">
        <v>16</v>
      </c>
      <c r="E125" s="259"/>
      <c r="F125" s="258"/>
      <c r="G125" s="258"/>
      <c r="H125" s="290">
        <f t="shared" si="1"/>
        <v>21</v>
      </c>
      <c r="I125" s="369"/>
      <c r="J125" s="430"/>
      <c r="K125" s="414"/>
    </row>
    <row r="126" spans="1:11" ht="12.75" hidden="1">
      <c r="A126" s="432" t="s">
        <v>282</v>
      </c>
      <c r="B126" s="258"/>
      <c r="C126" s="258" t="s">
        <v>323</v>
      </c>
      <c r="D126" s="257" t="s">
        <v>289</v>
      </c>
      <c r="E126" s="259"/>
      <c r="F126" s="258"/>
      <c r="G126" s="258"/>
      <c r="H126" s="290">
        <f t="shared" si="1"/>
        <v>7</v>
      </c>
      <c r="I126" s="369"/>
      <c r="J126" s="430"/>
      <c r="K126" s="414"/>
    </row>
    <row r="127" spans="1:11" ht="12.75" hidden="1">
      <c r="A127" s="432" t="s">
        <v>1</v>
      </c>
      <c r="B127" s="258"/>
      <c r="C127" s="258"/>
      <c r="D127" s="257" t="s">
        <v>17</v>
      </c>
      <c r="E127" s="259"/>
      <c r="F127" s="258"/>
      <c r="G127" s="258"/>
      <c r="H127" s="290">
        <f t="shared" si="1"/>
        <v>19</v>
      </c>
      <c r="I127" s="369"/>
      <c r="J127" s="430"/>
      <c r="K127" s="414"/>
    </row>
    <row r="128" spans="1:11" ht="12.75" hidden="1">
      <c r="A128" s="432" t="s">
        <v>313</v>
      </c>
      <c r="B128" s="258"/>
      <c r="C128" s="258"/>
      <c r="D128" s="257" t="s">
        <v>18</v>
      </c>
      <c r="E128" s="259"/>
      <c r="F128" s="258"/>
      <c r="G128" s="258"/>
      <c r="H128" s="290">
        <f t="shared" si="1"/>
        <v>16</v>
      </c>
      <c r="I128" s="369"/>
      <c r="J128" s="430"/>
      <c r="K128" s="414"/>
    </row>
    <row r="129" spans="1:11" ht="12.75" hidden="1">
      <c r="A129" s="432"/>
      <c r="B129" s="258"/>
      <c r="C129" s="258"/>
      <c r="D129" s="257"/>
      <c r="E129" s="259"/>
      <c r="F129" s="258"/>
      <c r="G129" s="258"/>
      <c r="H129" s="290">
        <f t="shared" si="1"/>
        <v>0</v>
      </c>
      <c r="I129" s="369"/>
      <c r="J129" s="430"/>
      <c r="K129" s="414"/>
    </row>
    <row r="130" spans="1:11" ht="12.75" hidden="1">
      <c r="A130" s="432"/>
      <c r="B130" s="258"/>
      <c r="C130" s="258"/>
      <c r="D130" s="257"/>
      <c r="E130" s="259"/>
      <c r="F130" s="258"/>
      <c r="G130" s="258"/>
      <c r="H130" s="290">
        <f t="shared" si="1"/>
        <v>0</v>
      </c>
      <c r="I130" s="369"/>
      <c r="J130" s="430"/>
      <c r="K130" s="414"/>
    </row>
    <row r="131" spans="1:11" ht="12.75" hidden="1">
      <c r="A131" s="432"/>
      <c r="B131" s="258"/>
      <c r="C131" s="258"/>
      <c r="D131" s="257"/>
      <c r="E131" s="259"/>
      <c r="F131" s="258"/>
      <c r="G131" s="258"/>
      <c r="H131" s="290">
        <f t="shared" si="1"/>
        <v>0</v>
      </c>
      <c r="I131" s="369"/>
      <c r="J131" s="430"/>
      <c r="K131" s="414"/>
    </row>
    <row r="132" spans="1:11" ht="12.75" hidden="1">
      <c r="A132" s="432"/>
      <c r="B132" s="258"/>
      <c r="C132" s="258"/>
      <c r="D132" s="257"/>
      <c r="E132" s="259"/>
      <c r="F132" s="258"/>
      <c r="G132" s="258"/>
      <c r="H132" s="290">
        <f t="shared" si="1"/>
        <v>0</v>
      </c>
      <c r="I132" s="369"/>
      <c r="J132" s="430"/>
      <c r="K132" s="414"/>
    </row>
    <row r="133" spans="1:11" ht="12.75" hidden="1">
      <c r="A133" s="432"/>
      <c r="B133" s="258"/>
      <c r="C133" s="258"/>
      <c r="D133" s="257"/>
      <c r="E133" s="259"/>
      <c r="F133" s="258"/>
      <c r="G133" s="258"/>
      <c r="H133" s="290">
        <f t="shared" si="1"/>
        <v>0</v>
      </c>
      <c r="I133" s="369"/>
      <c r="J133" s="430"/>
      <c r="K133" s="414"/>
    </row>
    <row r="134" spans="1:11" ht="12.75" hidden="1">
      <c r="A134" s="433"/>
      <c r="B134" s="258"/>
      <c r="C134" s="258"/>
      <c r="D134" s="259"/>
      <c r="E134" s="258"/>
      <c r="F134" s="258"/>
      <c r="G134" s="258"/>
      <c r="H134" s="290">
        <f t="shared" si="1"/>
        <v>0</v>
      </c>
      <c r="I134" s="369"/>
      <c r="J134" s="430"/>
      <c r="K134" s="414"/>
    </row>
    <row r="135" spans="1:11" ht="12.75" hidden="1">
      <c r="A135" s="375"/>
      <c r="B135" s="31"/>
      <c r="C135" s="31"/>
      <c r="D135" s="31"/>
      <c r="E135" s="31"/>
      <c r="F135" s="31"/>
      <c r="G135" s="31"/>
      <c r="H135" s="31"/>
      <c r="I135" s="31"/>
      <c r="J135" s="376"/>
      <c r="K135" s="414"/>
    </row>
    <row r="136" spans="1:11" ht="6" customHeight="1">
      <c r="A136" s="375"/>
      <c r="B136" s="31"/>
      <c r="C136" s="31"/>
      <c r="D136" s="31"/>
      <c r="E136" s="31"/>
      <c r="F136" s="31"/>
      <c r="G136" s="31"/>
      <c r="H136" s="31"/>
      <c r="I136" s="31"/>
      <c r="J136" s="376"/>
      <c r="K136" s="414"/>
    </row>
    <row r="137" spans="1:30" s="305" customFormat="1" ht="28.5" customHeight="1">
      <c r="A137" s="481" t="s">
        <v>333</v>
      </c>
      <c r="B137" s="478"/>
      <c r="C137" s="478"/>
      <c r="D137" s="478"/>
      <c r="E137" s="478"/>
      <c r="F137" s="478"/>
      <c r="G137" s="478"/>
      <c r="H137" s="478"/>
      <c r="I137" s="478"/>
      <c r="J137" s="394"/>
      <c r="K137" s="434"/>
      <c r="L137" s="363"/>
      <c r="M137" s="363"/>
      <c r="N137" s="363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</row>
    <row r="138" spans="1:11" ht="12.75">
      <c r="A138" s="375"/>
      <c r="B138" s="31"/>
      <c r="C138" s="31"/>
      <c r="D138" s="31"/>
      <c r="E138" s="31"/>
      <c r="F138" s="31"/>
      <c r="G138" s="31"/>
      <c r="H138" s="31"/>
      <c r="I138" s="31"/>
      <c r="J138" s="376"/>
      <c r="K138" s="414"/>
    </row>
    <row r="139" spans="1:12" ht="20.25" customHeight="1">
      <c r="A139" s="463" t="s">
        <v>457</v>
      </c>
      <c r="B139" s="464"/>
      <c r="C139" s="464"/>
      <c r="D139" s="464"/>
      <c r="E139" s="464"/>
      <c r="F139" s="464"/>
      <c r="G139" s="464"/>
      <c r="H139" s="464"/>
      <c r="I139" s="464"/>
      <c r="J139" s="376"/>
      <c r="K139" s="414"/>
      <c r="L139" s="253" t="s">
        <v>471</v>
      </c>
    </row>
    <row r="140" spans="1:13" s="441" customFormat="1" ht="13.5" customHeight="1">
      <c r="A140" s="473" t="s">
        <v>458</v>
      </c>
      <c r="B140" s="474"/>
      <c r="C140" s="474"/>
      <c r="D140" s="436">
        <v>72</v>
      </c>
      <c r="E140" s="31" t="s">
        <v>459</v>
      </c>
      <c r="F140" s="437"/>
      <c r="G140" s="437"/>
      <c r="H140" s="437"/>
      <c r="I140" s="437"/>
      <c r="J140" s="438"/>
      <c r="K140" s="375"/>
      <c r="L140" s="439"/>
      <c r="M140" s="440"/>
    </row>
    <row r="141" spans="1:13" s="441" customFormat="1" ht="12.75" customHeight="1">
      <c r="A141" s="471" t="str">
        <f>"В течение одного года пройти повышение квалификации  в объеме не менее "&amp;D140&amp;" часов с последующим обучением по накопительной системе в межаттестационный период. "</f>
        <v>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период. </v>
      </c>
      <c r="B141" s="454"/>
      <c r="C141" s="454"/>
      <c r="D141" s="454"/>
      <c r="E141" s="454"/>
      <c r="F141" s="454"/>
      <c r="G141" s="454"/>
      <c r="H141" s="454"/>
      <c r="I141" s="454"/>
      <c r="J141" s="455"/>
      <c r="K141" s="443" t="s">
        <v>460</v>
      </c>
      <c r="L141" s="439"/>
      <c r="M141" s="440"/>
    </row>
    <row r="142" spans="1:13" s="441" customFormat="1" ht="12.75">
      <c r="A142" s="456"/>
      <c r="B142" s="457"/>
      <c r="C142" s="457"/>
      <c r="D142" s="457"/>
      <c r="E142" s="457"/>
      <c r="F142" s="457"/>
      <c r="G142" s="457"/>
      <c r="H142" s="457"/>
      <c r="I142" s="457"/>
      <c r="J142" s="458"/>
      <c r="K142" s="444" t="s">
        <v>461</v>
      </c>
      <c r="L142" s="445">
        <f>IF(AND(ЭЗ!F175=0,ЭЗ!F178=0,ЭЗ!G186&lt;&gt;100,вывод1="да"),_72ч,"")</f>
      </c>
      <c r="M142" s="440"/>
    </row>
    <row r="143" spans="1:13" s="441" customFormat="1" ht="12.75" hidden="1">
      <c r="A143" s="446"/>
      <c r="B143" s="447"/>
      <c r="C143" s="447"/>
      <c r="D143" s="447"/>
      <c r="E143" s="447"/>
      <c r="F143" s="447"/>
      <c r="G143" s="447"/>
      <c r="H143" s="447"/>
      <c r="I143" s="447"/>
      <c r="J143" s="442"/>
      <c r="K143" s="448" t="s">
        <v>462</v>
      </c>
      <c r="L143" s="449">
        <f>IF(рек_общ="",рез_2&amp;рез_3,IF(рез_2="",рек_общ&amp;рез_3,рез_2&amp;рез_3))</f>
      </c>
      <c r="M143" s="440"/>
    </row>
    <row r="144" spans="1:13" s="441" customFormat="1" ht="24.75" customHeight="1" hidden="1">
      <c r="A144" s="465" t="s">
        <v>466</v>
      </c>
      <c r="B144" s="466"/>
      <c r="C144" s="466"/>
      <c r="D144" s="466"/>
      <c r="E144" s="466"/>
      <c r="F144" s="466"/>
      <c r="G144" s="466"/>
      <c r="H144" s="466"/>
      <c r="I144" s="466"/>
      <c r="J144" s="467"/>
      <c r="K144" s="450" t="s">
        <v>463</v>
      </c>
      <c r="L144" s="439"/>
      <c r="M144" s="440"/>
    </row>
    <row r="145" spans="1:11" ht="25.5" customHeight="1" hidden="1">
      <c r="A145" s="468" t="s">
        <v>468</v>
      </c>
      <c r="B145" s="469"/>
      <c r="C145" s="469"/>
      <c r="D145" s="469"/>
      <c r="E145" s="469"/>
      <c r="F145" s="469"/>
      <c r="G145" s="469"/>
      <c r="H145" s="469"/>
      <c r="I145" s="469"/>
      <c r="J145" s="470"/>
      <c r="K145" s="416"/>
    </row>
    <row r="146" spans="1:11" ht="24" customHeight="1" hidden="1">
      <c r="A146" s="435" t="s">
        <v>467</v>
      </c>
      <c r="B146" s="447"/>
      <c r="C146" s="447"/>
      <c r="D146" s="447"/>
      <c r="E146" s="447"/>
      <c r="F146" s="447"/>
      <c r="G146" s="447"/>
      <c r="H146" s="447"/>
      <c r="I146" s="447"/>
      <c r="J146" s="376"/>
      <c r="K146" s="450" t="s">
        <v>464</v>
      </c>
    </row>
    <row r="147" spans="1:11" ht="23.25" customHeight="1" hidden="1">
      <c r="A147" s="475" t="s">
        <v>189</v>
      </c>
      <c r="B147" s="476"/>
      <c r="C147" s="476"/>
      <c r="D147" s="476"/>
      <c r="E147" s="476"/>
      <c r="F147" s="476"/>
      <c r="G147" s="476"/>
      <c r="H147" s="476"/>
      <c r="I147" s="476"/>
      <c r="J147" s="477"/>
      <c r="K147" s="414"/>
    </row>
    <row r="148" spans="1:11" ht="12.75" hidden="1">
      <c r="A148" s="375"/>
      <c r="B148" s="31"/>
      <c r="C148" s="31"/>
      <c r="D148" s="31"/>
      <c r="E148" s="31"/>
      <c r="F148" s="31"/>
      <c r="G148" s="31"/>
      <c r="H148" s="31"/>
      <c r="I148" s="31"/>
      <c r="J148" s="376"/>
      <c r="K148" s="414"/>
    </row>
    <row r="149" spans="1:11" ht="15.75" hidden="1">
      <c r="A149" s="375"/>
      <c r="B149" s="451"/>
      <c r="C149" s="31"/>
      <c r="D149" s="31"/>
      <c r="E149" s="31"/>
      <c r="F149" s="31"/>
      <c r="G149" s="31"/>
      <c r="H149" s="31"/>
      <c r="I149" s="31"/>
      <c r="J149" s="376"/>
      <c r="K149" s="414"/>
    </row>
    <row r="150" spans="1:11" ht="12.75">
      <c r="A150" s="391"/>
      <c r="B150" s="392"/>
      <c r="C150" s="392"/>
      <c r="D150" s="392"/>
      <c r="E150" s="392"/>
      <c r="F150" s="392"/>
      <c r="G150" s="392"/>
      <c r="H150" s="392"/>
      <c r="I150" s="392"/>
      <c r="J150" s="358"/>
      <c r="K150" s="414"/>
    </row>
    <row r="151" ht="15.75" customHeight="1"/>
  </sheetData>
  <sheetProtection password="CF6E" sheet="1" objects="1" scenarios="1"/>
  <mergeCells count="56">
    <mergeCell ref="A140:C140"/>
    <mergeCell ref="A147:J147"/>
    <mergeCell ref="B100:C100"/>
    <mergeCell ref="D100:E100"/>
    <mergeCell ref="A137:I137"/>
    <mergeCell ref="A139:I139"/>
    <mergeCell ref="A144:J144"/>
    <mergeCell ref="A145:J145"/>
    <mergeCell ref="A141:J141"/>
    <mergeCell ref="A142:J142"/>
    <mergeCell ref="A99:I99"/>
    <mergeCell ref="A62:J62"/>
    <mergeCell ref="A53:I53"/>
    <mergeCell ref="A55:H57"/>
    <mergeCell ref="A58:H59"/>
    <mergeCell ref="A61:J61"/>
    <mergeCell ref="C69:H69"/>
    <mergeCell ref="C68:I68"/>
    <mergeCell ref="C71:H71"/>
    <mergeCell ref="A64:I64"/>
    <mergeCell ref="G48:H48"/>
    <mergeCell ref="A50:J51"/>
    <mergeCell ref="G41:H41"/>
    <mergeCell ref="C28:I28"/>
    <mergeCell ref="C30:I30"/>
    <mergeCell ref="D37:E37"/>
    <mergeCell ref="F35:H35"/>
    <mergeCell ref="A34:C34"/>
    <mergeCell ref="G45:H45"/>
    <mergeCell ref="G46:H46"/>
    <mergeCell ref="A24:B24"/>
    <mergeCell ref="A26:B26"/>
    <mergeCell ref="A35:C35"/>
    <mergeCell ref="D35:E35"/>
    <mergeCell ref="C26:H26"/>
    <mergeCell ref="C27:H27"/>
    <mergeCell ref="C72:I72"/>
    <mergeCell ref="C74:I74"/>
    <mergeCell ref="A19:B19"/>
    <mergeCell ref="C19:I19"/>
    <mergeCell ref="A23:B23"/>
    <mergeCell ref="C23:I24"/>
    <mergeCell ref="G21:I21"/>
    <mergeCell ref="A21:C21"/>
    <mergeCell ref="D21:F21"/>
    <mergeCell ref="A39:I39"/>
    <mergeCell ref="A79:J80"/>
    <mergeCell ref="A1:I2"/>
    <mergeCell ref="H4:I15"/>
    <mergeCell ref="C73:H73"/>
    <mergeCell ref="C75:H75"/>
    <mergeCell ref="C70:I70"/>
    <mergeCell ref="B4:C4"/>
    <mergeCell ref="A17:I17"/>
    <mergeCell ref="A42:F43"/>
    <mergeCell ref="G42:H42"/>
  </mergeCells>
  <conditionalFormatting sqref="A147">
    <cfRule type="expression" priority="3" dxfId="7" stopIfTrue="1">
      <formula>$A$147=""</formula>
    </cfRule>
  </conditionalFormatting>
  <conditionalFormatting sqref="A79 A1:J2">
    <cfRule type="cellIs" priority="2" dxfId="19" operator="equal" stopIfTrue="1">
      <formula>"Все данные введены. Перейдите на лист ЭЗ"</formula>
    </cfRule>
  </conditionalFormatting>
  <conditionalFormatting sqref="C27:H27">
    <cfRule type="expression" priority="1" dxfId="18" stopIfTrue="1">
      <formula>"$A$23=""-"""</formula>
    </cfRule>
  </conditionalFormatting>
  <conditionalFormatting sqref="B73">
    <cfRule type="expression" priority="6" dxfId="7" stopIfTrue="1">
      <formula>#REF!&lt;2</formula>
    </cfRule>
  </conditionalFormatting>
  <conditionalFormatting sqref="I41">
    <cfRule type="expression" priority="7" dxfId="7" stopIfTrue="1">
      <formula>$G$41="нет"</formula>
    </cfRule>
  </conditionalFormatting>
  <conditionalFormatting sqref="I42:I43">
    <cfRule type="expression" priority="8" dxfId="7" stopIfTrue="1">
      <formula>$G$42="нет"</formula>
    </cfRule>
  </conditionalFormatting>
  <conditionalFormatting sqref="I46:I47">
    <cfRule type="expression" priority="9" dxfId="7" stopIfTrue="1">
      <formula>$G$46="нет"</formula>
    </cfRule>
  </conditionalFormatting>
  <conditionalFormatting sqref="I56">
    <cfRule type="expression" priority="10" dxfId="21" stopIfTrue="1">
      <formula>OR($G$41="да",$G$42="да")</formula>
    </cfRule>
  </conditionalFormatting>
  <conditionalFormatting sqref="J41">
    <cfRule type="expression" priority="11" dxfId="22" stopIfTrue="1">
      <formula>$G$41="нет"</formula>
    </cfRule>
  </conditionalFormatting>
  <conditionalFormatting sqref="J42">
    <cfRule type="expression" priority="12" dxfId="22" stopIfTrue="1">
      <formula>$G$42="нет"</formula>
    </cfRule>
  </conditionalFormatting>
  <conditionalFormatting sqref="J46">
    <cfRule type="expression" priority="13" dxfId="22" stopIfTrue="1">
      <formula>$G$46="нет"</formula>
    </cfRule>
  </conditionalFormatting>
  <conditionalFormatting sqref="J56">
    <cfRule type="expression" priority="14" dxfId="22" stopIfTrue="1">
      <formula>AND($G$41="нет",$G$42="нет")</formula>
    </cfRule>
  </conditionalFormatting>
  <conditionalFormatting sqref="B72 C72:I73">
    <cfRule type="expression" priority="15" dxfId="7" stopIfTrue="1">
      <formula>$F$66&lt;2</formula>
    </cfRule>
  </conditionalFormatting>
  <conditionalFormatting sqref="B74:I75">
    <cfRule type="expression" priority="16" dxfId="7" stopIfTrue="1">
      <formula>$F$66&lt;3</formula>
    </cfRule>
  </conditionalFormatting>
  <dataValidations count="29"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46">
      <formula1>2000+G77-5</formula1>
      <formula2>2000+G77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41">
      <formula1>2000+G77-5</formula1>
      <formula2>2000+G77</formula2>
    </dataValidation>
    <dataValidation type="whole" allowBlank="1" showInputMessage="1" showErrorMessage="1" promptTitle="Введите число" prompt="от 12 до 25" sqref="G77">
      <formula1>12</formula1>
      <formula2>25</formula2>
    </dataValidation>
    <dataValidation allowBlank="1" showInputMessage="1" showErrorMessage="1" promptTitle="Введите" prompt="ФИО полностью" sqref="K69 C22:I22 C19:I20"/>
    <dataValidation type="whole" allowBlank="1" showInputMessage="1" showErrorMessage="1" sqref="C77">
      <formula1>1</formula1>
      <formula2>31</formula2>
    </dataValidation>
    <dataValidation type="list" allowBlank="1" showInputMessage="1" showErrorMessage="1" promptTitle="Воспользуйтесь кнопкой" prompt="справа" sqref="E77">
      <formula1>"сентября, октября, ноября, декабря, января, февраля, марта, апреля, мая, июня"</formula1>
    </dataValidation>
    <dataValidation allowBlank="1" showInputMessage="1" showErrorMessage="1" promptTitle="Введите" prompt="ФИО полностью&#10;" sqref="C68 C74 C72 C70"/>
    <dataValidation type="list" showInputMessage="1" showErrorMessage="1" sqref="F66">
      <formula1>"1, 2, 3"</formula1>
    </dataValidation>
    <dataValidation type="list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&#10;&#10;Вы уверены?" sqref="G21:I21">
      <formula1>$E$4:$E$16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type="list" allowBlank="1" showInputMessage="1" showErrorMessage="1" promptTitle="выберите из списка" prompt="воспользуйтесь кнопкой" sqref="D36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$B$82:$H$82</formula1>
    </dataValidation>
    <dataValidation type="list" showInputMessage="1" showErrorMessage="1" promptTitle="Выберите из списка" prompt="воспользуйтесь кнопкой" sqref="E34">
      <formula1>"лет, год, года, "</formula1>
    </dataValidation>
    <dataValidation type="whole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5:I25">
      <formula1>0</formula1>
      <formula2>122</formula2>
    </dataValidation>
    <dataValidation errorStyle="information" allowBlank="1" showInputMessage="1" showErrorMessage="1" errorTitle="Внимание!" error="Длина строки более 60 символов" sqref="I26:I27"/>
    <dataValidation errorStyle="warning" type="list" showInputMessage="1" showErrorMessage="1" errorTitle="Внимание!" error="Должности нет в списке!&#10;&#10;Воспользуйтесь кнопкой справа" sqref="C26:H26">
      <formula1>"социальный педагог"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errorStyle="warning" type="textLength" showInputMessage="1" showErrorMessage="1" prompt="Укажите полное наименование ОУ&#10;&#10;" errorTitle="Внимание! " error="Наименование слишком длинное (есть только 3 строки)&#10;Убедитесь, что наменование умещается на листе &quot;ЭЗ&quot;&#10;В противном случае используйте сокращенное наименование ОУ" sqref="C23:I24">
      <formula1>0</formula1>
      <formula2>192</formula2>
    </dataValidation>
    <dataValidation type="list" showInputMessage="1" showErrorMessage="1" promptTitle="выберите из списка" prompt="воспользуйтесь кнопкой" sqref="D35:E35">
      <formula1>"высшая, первая, вторая, нет"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56">
      <formula1>"нет, да"</formula1>
    </dataValidation>
    <dataValidation type="list" allowBlank="1" showInputMessage="1" showErrorMessage="1" promptTitle="Выберите из списка" prompt="курс обучения" sqref="J42">
      <formula1>"1к., 2к., 3к., 4к., 5к.,6к."</formula1>
    </dataValidation>
    <dataValidation type="list" showInputMessage="1" showErrorMessage="1" sqref="G48:H48 G45:H46 G42:H42">
      <formula1>"нет, да"</formula1>
    </dataValidation>
    <dataValidation type="list" showInputMessage="1" showErrorMessage="1" promptTitle="Выберите из списка" prompt=" (нет/да)" sqref="I58">
      <formula1>"нет, да"</formula1>
    </dataValidation>
    <dataValidation type="list" showInputMessage="1" showErrorMessage="1" promptTitle="укажите &quot;да&quot;, если" prompt="была получена&#10;квалификация &quot;социальный педагог&quot;&#10;менее 3-х лет назад &#10;" sqref="G41:H41">
      <formula1>"нет, да"</formula1>
    </dataValidation>
  </dataValidations>
  <hyperlinks>
    <hyperlink ref="E4:F15" location="'общие сведения'!G21" tooltip="выберите в строке &quot;Муниципальное образование&quot;" display="'общие сведения'!G21"/>
    <hyperlink ref="E5:E16" location="'общие сведения'!G21" tooltip="выберите в строке &quot;Муниципальное образование&quot;" display="'общие сведения'!G21"/>
    <hyperlink ref="A99" location="ЭЗ!B36" tooltip="Щелкните, чтобы перейти по ссылке" display="Перейти на лист 'ЭЗ'"/>
    <hyperlink ref="A137:I137" location="proverka" tooltip="Щелкните, чтобы перейти по ссылке" display="Проверить правильность заполнения данных"/>
    <hyperlink ref="A99:I99" location="ЭЗ!A3" tooltip="Щелкните, чтобы перейти по ссылке" display="Перейти на лист 'ЭЗ'"/>
  </hyperlinks>
  <printOptions horizontalCentered="1"/>
  <pageMargins left="0.3937007874015748" right="0.2362204724409449" top="0.984251968503937" bottom="0.984251968503937" header="0.5118110236220472" footer="0.5118110236220472"/>
  <pageSetup fitToHeight="1" fitToWidth="1" horizontalDpi="600" verticalDpi="600" orientation="portrait" paperSize="9" scale="78" r:id="rId3"/>
  <headerFooter alignWithMargins="0">
    <oddHeader>&amp;C&amp;8&amp;A / &amp;D, &amp;T /, &amp;F</oddHeader>
    <oddFooter>&amp;C&amp;6/ Версия - сент.2013 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2"/>
  <sheetViews>
    <sheetView showGridLines="0" showRowColHeaders="0" showOutlineSymbols="0" zoomScaleSheetLayoutView="100" zoomScalePageLayoutView="0" workbookViewId="0" topLeftCell="A1">
      <selection activeCell="A2" sqref="A2:I5"/>
    </sheetView>
  </sheetViews>
  <sheetFormatPr defaultColWidth="9.00390625" defaultRowHeight="12.75"/>
  <cols>
    <col min="1" max="1" width="5.00390625" style="11" customWidth="1"/>
    <col min="2" max="2" width="10.875" style="190" customWidth="1"/>
    <col min="3" max="3" width="13.125" style="190" customWidth="1"/>
    <col min="4" max="4" width="12.625" style="191" customWidth="1"/>
    <col min="5" max="5" width="9.375" style="191" customWidth="1"/>
    <col min="6" max="9" width="11.875" style="191" customWidth="1"/>
    <col min="10" max="10" width="6.875" style="4" hidden="1" customWidth="1"/>
    <col min="11" max="11" width="17.00390625" style="57" hidden="1" customWidth="1"/>
    <col min="12" max="12" width="5.75390625" style="57" hidden="1" customWidth="1"/>
    <col min="13" max="13" width="5.625" style="57" hidden="1" customWidth="1"/>
    <col min="14" max="14" width="21.875" style="234" hidden="1" customWidth="1"/>
    <col min="15" max="15" width="9.75390625" style="4" hidden="1" customWidth="1"/>
    <col min="16" max="16" width="13.00390625" style="4" hidden="1" customWidth="1"/>
    <col min="17" max="17" width="0" style="4" hidden="1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>
      <c r="I1" s="488" t="s">
        <v>480</v>
      </c>
    </row>
    <row r="2" spans="1:15" ht="18">
      <c r="A2" s="654" t="s">
        <v>121</v>
      </c>
      <c r="B2" s="654"/>
      <c r="C2" s="654"/>
      <c r="D2" s="654"/>
      <c r="E2" s="654"/>
      <c r="F2" s="654"/>
      <c r="G2" s="654"/>
      <c r="H2" s="654"/>
      <c r="I2" s="654"/>
      <c r="K2" s="267"/>
      <c r="L2" s="268"/>
      <c r="M2" s="269"/>
      <c r="N2" s="269" t="s">
        <v>19</v>
      </c>
      <c r="O2" s="248" t="s">
        <v>20</v>
      </c>
    </row>
    <row r="3" spans="1:15" ht="15.75" customHeight="1">
      <c r="A3" s="592" t="s">
        <v>444</v>
      </c>
      <c r="B3" s="592"/>
      <c r="C3" s="592"/>
      <c r="D3" s="592"/>
      <c r="E3" s="592"/>
      <c r="F3" s="592"/>
      <c r="G3" s="592"/>
      <c r="H3" s="592"/>
      <c r="I3" s="592"/>
      <c r="K3" s="257" t="str">
        <f>'общие сведения'!A102</f>
        <v>воспитатель</v>
      </c>
      <c r="L3" s="257"/>
      <c r="M3" s="257" t="str">
        <f>'общие сведения'!D102</f>
        <v>воспитателя</v>
      </c>
      <c r="N3" s="257"/>
      <c r="O3" s="68">
        <f>LEN(M3)</f>
        <v>11</v>
      </c>
    </row>
    <row r="4" spans="1:15" ht="7.5" customHeight="1">
      <c r="A4" s="592"/>
      <c r="B4" s="592"/>
      <c r="C4" s="592"/>
      <c r="D4" s="592"/>
      <c r="E4" s="592"/>
      <c r="F4" s="592"/>
      <c r="G4" s="592"/>
      <c r="H4" s="592"/>
      <c r="I4" s="592"/>
      <c r="K4" s="257" t="str">
        <f>'общие сведения'!A103</f>
        <v>воспитатель группы продленного дня</v>
      </c>
      <c r="L4" s="257"/>
      <c r="M4" s="257" t="str">
        <f>'общие сведения'!D103</f>
        <v>воспитателя ГПД</v>
      </c>
      <c r="N4" s="257"/>
      <c r="O4" s="68">
        <f aca="true" t="shared" si="0" ref="O4:O35">LEN(M4)</f>
        <v>15</v>
      </c>
    </row>
    <row r="5" spans="1:15" ht="8.25" customHeight="1">
      <c r="A5" s="593"/>
      <c r="B5" s="593"/>
      <c r="C5" s="593"/>
      <c r="D5" s="593"/>
      <c r="E5" s="593"/>
      <c r="F5" s="593"/>
      <c r="G5" s="593"/>
      <c r="H5" s="593"/>
      <c r="I5" s="593"/>
      <c r="K5" s="257" t="str">
        <f>'общие сведения'!A104</f>
        <v>дефектолог</v>
      </c>
      <c r="L5" s="257"/>
      <c r="M5" s="257" t="str">
        <f>'общие сведения'!D104</f>
        <v>дефектолога</v>
      </c>
      <c r="N5" s="257"/>
      <c r="O5" s="68">
        <f t="shared" si="0"/>
        <v>11</v>
      </c>
    </row>
    <row r="6" spans="1:15" ht="6.75" customHeight="1">
      <c r="A6" s="6"/>
      <c r="B6" s="209"/>
      <c r="C6" s="209"/>
      <c r="D6" s="209"/>
      <c r="E6" s="5"/>
      <c r="F6" s="5"/>
      <c r="G6" s="5"/>
      <c r="H6" s="5"/>
      <c r="I6" s="5"/>
      <c r="K6" s="257" t="str">
        <f>'общие сведения'!A105</f>
        <v>инструктор по труду</v>
      </c>
      <c r="L6" s="257"/>
      <c r="M6" s="257" t="str">
        <f>'общие сведения'!D105</f>
        <v>инструктора по труду</v>
      </c>
      <c r="N6" s="257"/>
      <c r="O6" s="68">
        <f t="shared" si="0"/>
        <v>20</v>
      </c>
    </row>
    <row r="7" spans="1:15" ht="15">
      <c r="A7" s="7" t="s">
        <v>122</v>
      </c>
      <c r="E7" s="8"/>
      <c r="F7" s="8"/>
      <c r="G7" s="8"/>
      <c r="H7" s="8"/>
      <c r="I7" s="8"/>
      <c r="K7" s="257" t="str">
        <f>'общие сведения'!A106</f>
        <v>инструктор по физической культуре</v>
      </c>
      <c r="L7" s="257"/>
      <c r="M7" s="257" t="str">
        <f>'общие сведения'!D106</f>
        <v>инструктора по физ. культуре</v>
      </c>
      <c r="N7" s="257"/>
      <c r="O7" s="68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257" t="str">
        <f>'общие сведения'!A107</f>
        <v>инструктор по физическому воспитанию</v>
      </c>
      <c r="L8" s="257"/>
      <c r="M8" s="257" t="str">
        <f>'общие сведения'!D107</f>
        <v>инструктора по физ.воспитанию</v>
      </c>
      <c r="N8" s="257"/>
      <c r="O8" s="68">
        <f t="shared" si="0"/>
        <v>29</v>
      </c>
      <c r="Q8" s="246"/>
    </row>
    <row r="9" spans="1:15" s="9" customFormat="1" ht="15">
      <c r="A9" s="657" t="s">
        <v>123</v>
      </c>
      <c r="B9" s="657"/>
      <c r="C9" s="657"/>
      <c r="D9" s="655">
        <f>IF('общие сведения'!C19&lt;&gt;"",PROPER(TRIM('общие сведения'!C19)),"")</f>
      </c>
      <c r="E9" s="655"/>
      <c r="F9" s="655"/>
      <c r="G9" s="655"/>
      <c r="H9" s="655"/>
      <c r="I9" s="655"/>
      <c r="K9" s="257" t="str">
        <f>'общие сведения'!A108</f>
        <v>инструктор-методист</v>
      </c>
      <c r="L9" s="257"/>
      <c r="M9" s="257" t="str">
        <f>'общие сведения'!D108</f>
        <v>инструктора-методиста</v>
      </c>
      <c r="N9" s="257"/>
      <c r="O9" s="68">
        <f t="shared" si="0"/>
        <v>21</v>
      </c>
    </row>
    <row r="10" spans="1:15" s="9" customFormat="1" ht="15" customHeight="1">
      <c r="A10" s="657" t="s">
        <v>207</v>
      </c>
      <c r="B10" s="657"/>
      <c r="C10" s="679">
        <f>IF(D9="","",TRIM('общие сведения'!C23))</f>
      </c>
      <c r="D10" s="679"/>
      <c r="E10" s="679"/>
      <c r="F10" s="679"/>
      <c r="G10" s="679"/>
      <c r="H10" s="679"/>
      <c r="I10" s="679"/>
      <c r="K10" s="257" t="str">
        <f>'общие сведения'!A109</f>
        <v>концертмейстер</v>
      </c>
      <c r="L10" s="257"/>
      <c r="M10" s="257" t="str">
        <f>'общие сведения'!D109</f>
        <v>концертмейстера</v>
      </c>
      <c r="N10" s="257"/>
      <c r="O10" s="68">
        <f t="shared" si="0"/>
        <v>15</v>
      </c>
    </row>
    <row r="11" spans="1:15" s="9" customFormat="1" ht="30" customHeight="1">
      <c r="A11" s="38"/>
      <c r="B11" s="210"/>
      <c r="C11" s="680"/>
      <c r="D11" s="680"/>
      <c r="E11" s="680"/>
      <c r="F11" s="680"/>
      <c r="G11" s="680"/>
      <c r="H11" s="680"/>
      <c r="I11" s="680"/>
      <c r="K11" s="257" t="str">
        <f>'общие сведения'!A110</f>
        <v>логопед</v>
      </c>
      <c r="L11" s="257"/>
      <c r="M11" s="257" t="str">
        <f>'общие сведения'!D110</f>
        <v>логопеда</v>
      </c>
      <c r="N11" s="257"/>
      <c r="O11" s="68">
        <f t="shared" si="0"/>
        <v>8</v>
      </c>
    </row>
    <row r="12" spans="1:15" s="9" customFormat="1" ht="15">
      <c r="A12" s="657" t="s">
        <v>208</v>
      </c>
      <c r="B12" s="657"/>
      <c r="C12" s="659">
        <f>IF(D9="","",'общие сведения'!C30)</f>
      </c>
      <c r="D12" s="659"/>
      <c r="E12" s="659"/>
      <c r="F12" s="659"/>
      <c r="G12" s="659"/>
      <c r="H12" s="659"/>
      <c r="I12" s="659"/>
      <c r="K12" s="257" t="str">
        <f>'общие сведения'!A111</f>
        <v>мастер производственного обучения</v>
      </c>
      <c r="L12" s="257"/>
      <c r="M12" s="257" t="str">
        <f>'общие сведения'!D111</f>
        <v>мастера п./о.</v>
      </c>
      <c r="N12" s="257"/>
      <c r="O12" s="68">
        <f t="shared" si="0"/>
        <v>13</v>
      </c>
    </row>
    <row r="13" spans="1:15" s="9" customFormat="1" ht="15" hidden="1">
      <c r="A13" s="657" t="s">
        <v>124</v>
      </c>
      <c r="B13" s="657"/>
      <c r="C13" s="657"/>
      <c r="D13" s="658">
        <f>IF(D9="","",IF('общие сведения'!D21="муниципальный район",'общие сведения'!G21,'общие сведения'!D21))</f>
      </c>
      <c r="E13" s="658"/>
      <c r="F13" s="658"/>
      <c r="G13" s="662">
        <f>IF(D9="","",IF('общие сведения'!D21="муниципальный район",'общие сведения'!D21,'общие сведения'!G21))</f>
      </c>
      <c r="H13" s="662"/>
      <c r="I13" s="662"/>
      <c r="K13" s="257" t="str">
        <f>'общие сведения'!A112</f>
        <v>методист</v>
      </c>
      <c r="L13" s="257"/>
      <c r="M13" s="257" t="str">
        <f>'общие сведения'!D112</f>
        <v>методиста</v>
      </c>
      <c r="N13" s="257"/>
      <c r="O13" s="68">
        <f t="shared" si="0"/>
        <v>9</v>
      </c>
    </row>
    <row r="14" spans="1:15" s="9" customFormat="1" ht="15">
      <c r="A14" s="657" t="s">
        <v>219</v>
      </c>
      <c r="B14" s="657"/>
      <c r="C14" s="657"/>
      <c r="D14" s="112">
        <f>IF(D9="","",'общие сведения'!D34)</f>
      </c>
      <c r="E14" s="288">
        <f>IF(D9="","",'общие сведения'!E34)</f>
      </c>
      <c r="F14" s="96"/>
      <c r="G14" s="96"/>
      <c r="H14" s="96"/>
      <c r="I14" s="96"/>
      <c r="K14" s="257" t="str">
        <f>'общие сведения'!A113</f>
        <v>музыкальный руководитель</v>
      </c>
      <c r="L14" s="257"/>
      <c r="M14" s="257" t="str">
        <f>'общие сведения'!D113</f>
        <v>музыкального руководителя</v>
      </c>
      <c r="N14" s="257"/>
      <c r="O14" s="68">
        <f t="shared" si="0"/>
        <v>25</v>
      </c>
    </row>
    <row r="15" spans="1:15" s="9" customFormat="1" ht="15">
      <c r="A15" s="657" t="s">
        <v>220</v>
      </c>
      <c r="B15" s="657"/>
      <c r="C15" s="657"/>
      <c r="D15" s="657"/>
      <c r="E15" s="667">
        <f>IF(D9&lt;&gt;"",'общие сведения'!D35,"")</f>
      </c>
      <c r="F15" s="667"/>
      <c r="G15" s="668" t="s">
        <v>221</v>
      </c>
      <c r="H15" s="668"/>
      <c r="I15" s="94">
        <f>IF(OR('общие сведения'!I35="",E15=""),"",'общие сведения'!I35)</f>
      </c>
      <c r="J15" s="93"/>
      <c r="K15" s="257" t="str">
        <f>'общие сведения'!A114</f>
        <v>педагог</v>
      </c>
      <c r="L15" s="257"/>
      <c r="M15" s="257" t="str">
        <f>'общие сведения'!D114</f>
        <v>педагога</v>
      </c>
      <c r="N15" s="257"/>
      <c r="O15" s="68">
        <f t="shared" si="0"/>
        <v>8</v>
      </c>
    </row>
    <row r="16" spans="1:15" s="9" customFormat="1" ht="15">
      <c r="A16" s="657" t="s">
        <v>125</v>
      </c>
      <c r="B16" s="657"/>
      <c r="C16" s="657"/>
      <c r="D16" s="657"/>
      <c r="E16" s="656">
        <f>IF(D9&lt;&gt;"",'общие сведения'!D37,"")</f>
      </c>
      <c r="F16" s="656"/>
      <c r="G16" s="10"/>
      <c r="H16" s="10"/>
      <c r="I16" s="10"/>
      <c r="K16" s="257" t="str">
        <f>'общие сведения'!A115</f>
        <v>педагог дополнительного образования</v>
      </c>
      <c r="L16" s="257"/>
      <c r="M16" s="257" t="str">
        <f>'общие сведения'!D115</f>
        <v>педагога доп. образования</v>
      </c>
      <c r="N16" s="257"/>
      <c r="O16" s="68">
        <f t="shared" si="0"/>
        <v>25</v>
      </c>
    </row>
    <row r="17" spans="1:15" s="9" customFormat="1" ht="13.5" customHeight="1">
      <c r="A17" s="11"/>
      <c r="B17" s="190"/>
      <c r="C17" s="190"/>
      <c r="D17" s="191"/>
      <c r="E17" s="12"/>
      <c r="F17" s="12"/>
      <c r="G17" s="12"/>
      <c r="H17" s="12"/>
      <c r="I17" s="12"/>
      <c r="K17" s="257" t="str">
        <f>'общие сведения'!A116</f>
        <v>педагог-организатор</v>
      </c>
      <c r="L17" s="257"/>
      <c r="M17" s="257" t="str">
        <f>'общие сведения'!D116</f>
        <v>педагога-организатора</v>
      </c>
      <c r="N17" s="257"/>
      <c r="O17" s="68">
        <f t="shared" si="0"/>
        <v>21</v>
      </c>
    </row>
    <row r="18" spans="1:15" s="9" customFormat="1" ht="13.5" customHeight="1">
      <c r="A18" s="664" t="s">
        <v>272</v>
      </c>
      <c r="B18" s="665"/>
      <c r="C18" s="665"/>
      <c r="D18" s="665"/>
      <c r="E18" s="665"/>
      <c r="F18" s="665"/>
      <c r="G18" s="665"/>
      <c r="H18" s="665"/>
      <c r="I18" s="665"/>
      <c r="K18" s="257" t="str">
        <f>'общие сведения'!A117</f>
        <v>педагог-психолог</v>
      </c>
      <c r="L18" s="257"/>
      <c r="M18" s="257" t="str">
        <f>'общие сведения'!D117</f>
        <v>педагога-психолога</v>
      </c>
      <c r="N18" s="257"/>
      <c r="O18" s="68">
        <f t="shared" si="0"/>
        <v>18</v>
      </c>
    </row>
    <row r="19" spans="1:15" s="9" customFormat="1" ht="13.5" customHeight="1">
      <c r="A19" s="665"/>
      <c r="B19" s="665"/>
      <c r="C19" s="665"/>
      <c r="D19" s="665"/>
      <c r="E19" s="665"/>
      <c r="F19" s="665"/>
      <c r="G19" s="665"/>
      <c r="H19" s="665"/>
      <c r="I19" s="665"/>
      <c r="K19" s="257" t="str">
        <f>'общие сведения'!A118</f>
        <v>преподаватель</v>
      </c>
      <c r="L19" s="257"/>
      <c r="M19" s="257" t="str">
        <f>'общие сведения'!D118</f>
        <v>преподавателя</v>
      </c>
      <c r="N19" s="257"/>
      <c r="O19" s="68">
        <f t="shared" si="0"/>
        <v>13</v>
      </c>
    </row>
    <row r="20" spans="1:15" s="9" customFormat="1" ht="13.5" customHeight="1">
      <c r="A20" s="665"/>
      <c r="B20" s="665"/>
      <c r="C20" s="665"/>
      <c r="D20" s="665"/>
      <c r="E20" s="665"/>
      <c r="F20" s="665"/>
      <c r="G20" s="665"/>
      <c r="H20" s="665"/>
      <c r="I20" s="665"/>
      <c r="K20" s="257" t="str">
        <f>'общие сведения'!A119</f>
        <v>преподаватель-организатор </v>
      </c>
      <c r="L20" s="257"/>
      <c r="M20" s="257" t="str">
        <f>'общие сведения'!D119</f>
        <v>преподавателя-организатора </v>
      </c>
      <c r="N20" s="257"/>
      <c r="O20" s="68">
        <f t="shared" si="0"/>
        <v>27</v>
      </c>
    </row>
    <row r="21" spans="1:15" s="9" customFormat="1" ht="13.5" customHeight="1">
      <c r="A21" s="665"/>
      <c r="B21" s="665"/>
      <c r="C21" s="665"/>
      <c r="D21" s="665"/>
      <c r="E21" s="665"/>
      <c r="F21" s="665"/>
      <c r="G21" s="665"/>
      <c r="H21" s="665"/>
      <c r="I21" s="665"/>
      <c r="K21" s="257" t="str">
        <f>'общие сведения'!A120</f>
        <v>психолог</v>
      </c>
      <c r="L21" s="257"/>
      <c r="M21" s="257" t="str">
        <f>'общие сведения'!D120</f>
        <v>психолога</v>
      </c>
      <c r="N21" s="257"/>
      <c r="O21" s="68">
        <f t="shared" si="0"/>
        <v>9</v>
      </c>
    </row>
    <row r="22" spans="1:15" ht="12.75">
      <c r="A22" s="665"/>
      <c r="B22" s="665"/>
      <c r="C22" s="665"/>
      <c r="D22" s="665"/>
      <c r="E22" s="665"/>
      <c r="F22" s="665"/>
      <c r="G22" s="665"/>
      <c r="H22" s="665"/>
      <c r="I22" s="665"/>
      <c r="K22" s="257" t="str">
        <f>'общие сведения'!A121</f>
        <v>руководитель физ.воспитания</v>
      </c>
      <c r="L22" s="257"/>
      <c r="M22" s="257" t="str">
        <f>'общие сведения'!D121</f>
        <v>руководителя физ. воспитания</v>
      </c>
      <c r="N22" s="257"/>
      <c r="O22" s="68">
        <f t="shared" si="0"/>
        <v>28</v>
      </c>
    </row>
    <row r="23" spans="1:15" ht="5.25" customHeight="1">
      <c r="A23" s="6"/>
      <c r="B23" s="211"/>
      <c r="C23" s="211"/>
      <c r="D23" s="211"/>
      <c r="E23" s="13"/>
      <c r="F23" s="13"/>
      <c r="G23" s="13"/>
      <c r="H23" s="13"/>
      <c r="I23" s="13"/>
      <c r="K23" s="257" t="str">
        <f>'общие сведения'!A122</f>
        <v>социальный педагог</v>
      </c>
      <c r="L23" s="257"/>
      <c r="M23" s="257" t="str">
        <f>'общие сведения'!D122</f>
        <v>социального педагога</v>
      </c>
      <c r="N23" s="257"/>
      <c r="O23" s="68">
        <f t="shared" si="0"/>
        <v>20</v>
      </c>
    </row>
    <row r="24" spans="1:15" ht="30.75" customHeight="1">
      <c r="A24" s="14" t="s">
        <v>133</v>
      </c>
      <c r="B24" s="677" t="s">
        <v>193</v>
      </c>
      <c r="C24" s="677"/>
      <c r="D24" s="677"/>
      <c r="E24" s="677"/>
      <c r="F24" s="677"/>
      <c r="G24" s="677"/>
      <c r="H24" s="677"/>
      <c r="I24" s="677"/>
      <c r="K24" s="257" t="str">
        <f>'общие сведения'!A123</f>
        <v>старший воспитатель</v>
      </c>
      <c r="L24" s="257"/>
      <c r="M24" s="257" t="str">
        <f>'общие сведения'!D123</f>
        <v>старшего воспитателя</v>
      </c>
      <c r="N24" s="257"/>
      <c r="O24" s="68">
        <f t="shared" si="0"/>
        <v>20</v>
      </c>
    </row>
    <row r="25" spans="1:15" ht="15" customHeight="1">
      <c r="A25" s="15" t="s">
        <v>189</v>
      </c>
      <c r="B25" s="666" t="s">
        <v>191</v>
      </c>
      <c r="C25" s="666"/>
      <c r="D25" s="666"/>
      <c r="E25" s="666"/>
      <c r="F25" s="666"/>
      <c r="G25" s="666"/>
      <c r="H25" s="666"/>
      <c r="I25" s="666"/>
      <c r="K25" s="257" t="str">
        <f>'общие сведения'!A124</f>
        <v>тренер</v>
      </c>
      <c r="L25" s="257"/>
      <c r="M25" s="257" t="str">
        <f>'общие сведения'!D124</f>
        <v>тренера</v>
      </c>
      <c r="N25" s="257"/>
      <c r="O25" s="68">
        <f t="shared" si="0"/>
        <v>7</v>
      </c>
    </row>
    <row r="26" spans="2:15" ht="15" customHeight="1">
      <c r="B26" s="666"/>
      <c r="C26" s="666"/>
      <c r="D26" s="666"/>
      <c r="E26" s="666"/>
      <c r="F26" s="666"/>
      <c r="G26" s="666"/>
      <c r="H26" s="666"/>
      <c r="I26" s="666"/>
      <c r="K26" s="257" t="str">
        <f>'общие сведения'!A125</f>
        <v>тренер-преподаватель</v>
      </c>
      <c r="L26" s="257"/>
      <c r="M26" s="257" t="str">
        <f>'общие сведения'!D125</f>
        <v>тренера-преподавателя</v>
      </c>
      <c r="N26" s="257"/>
      <c r="O26" s="68">
        <f t="shared" si="0"/>
        <v>21</v>
      </c>
    </row>
    <row r="27" spans="1:15" ht="15" customHeight="1">
      <c r="A27" s="15" t="s">
        <v>189</v>
      </c>
      <c r="B27" s="556" t="s">
        <v>192</v>
      </c>
      <c r="C27" s="556"/>
      <c r="D27" s="556"/>
      <c r="E27" s="556"/>
      <c r="F27" s="556"/>
      <c r="G27" s="556"/>
      <c r="H27" s="556"/>
      <c r="I27" s="556"/>
      <c r="K27" s="257" t="str">
        <f>'общие сведения'!A126</f>
        <v>учитель</v>
      </c>
      <c r="L27" s="257"/>
      <c r="M27" s="257" t="str">
        <f>'общие сведения'!D126</f>
        <v>учителя</v>
      </c>
      <c r="N27" s="257"/>
      <c r="O27" s="68">
        <f t="shared" si="0"/>
        <v>7</v>
      </c>
    </row>
    <row r="28" spans="1:15" ht="15.75">
      <c r="A28" s="17"/>
      <c r="B28" s="556"/>
      <c r="C28" s="556"/>
      <c r="D28" s="556"/>
      <c r="E28" s="556"/>
      <c r="F28" s="556"/>
      <c r="G28" s="556"/>
      <c r="H28" s="556"/>
      <c r="I28" s="556"/>
      <c r="K28" s="257" t="str">
        <f>'общие сведения'!A127</f>
        <v>учитель-дефектолог</v>
      </c>
      <c r="L28" s="257"/>
      <c r="M28" s="257" t="str">
        <f>'общие сведения'!D127</f>
        <v>учителя-дефектолога</v>
      </c>
      <c r="N28" s="257"/>
      <c r="O28" s="68">
        <f t="shared" si="0"/>
        <v>19</v>
      </c>
    </row>
    <row r="29" spans="1:15" ht="12.75" customHeight="1">
      <c r="A29" s="17"/>
      <c r="B29" s="212"/>
      <c r="C29" s="212"/>
      <c r="D29" s="212"/>
      <c r="E29" s="16"/>
      <c r="F29" s="16"/>
      <c r="G29" s="16"/>
      <c r="H29" s="16"/>
      <c r="I29" s="16"/>
      <c r="K29" s="257" t="str">
        <f>'общие сведения'!A128</f>
        <v>учитель-логопед</v>
      </c>
      <c r="L29" s="257"/>
      <c r="M29" s="257" t="str">
        <f>'общие сведения'!D128</f>
        <v>учителя-логопеда</v>
      </c>
      <c r="N29" s="257"/>
      <c r="O29" s="68">
        <f t="shared" si="0"/>
        <v>16</v>
      </c>
    </row>
    <row r="30" spans="1:15" ht="14.25" customHeight="1">
      <c r="A30" s="541" t="s">
        <v>126</v>
      </c>
      <c r="B30" s="544" t="s">
        <v>127</v>
      </c>
      <c r="C30" s="669"/>
      <c r="D30" s="669"/>
      <c r="E30" s="669"/>
      <c r="F30" s="545"/>
      <c r="G30" s="519" t="s">
        <v>128</v>
      </c>
      <c r="H30" s="660"/>
      <c r="I30" s="661"/>
      <c r="J30" s="18"/>
      <c r="K30" s="257">
        <f>'общие сведения'!A129</f>
        <v>0</v>
      </c>
      <c r="L30" s="257"/>
      <c r="M30" s="257">
        <f>'общие сведения'!D129</f>
        <v>0</v>
      </c>
      <c r="N30" s="257"/>
      <c r="O30" s="68">
        <f t="shared" si="0"/>
        <v>1</v>
      </c>
    </row>
    <row r="31" spans="1:15" ht="12.75" customHeight="1">
      <c r="A31" s="542"/>
      <c r="B31" s="546"/>
      <c r="C31" s="670"/>
      <c r="D31" s="670"/>
      <c r="E31" s="670"/>
      <c r="F31" s="547"/>
      <c r="G31" s="610" t="s">
        <v>173</v>
      </c>
      <c r="H31" s="639"/>
      <c r="I31" s="640"/>
      <c r="J31" s="18"/>
      <c r="K31" s="257">
        <f>'общие сведения'!A130</f>
        <v>0</v>
      </c>
      <c r="L31" s="257"/>
      <c r="M31" s="257">
        <f>'общие сведения'!D130</f>
        <v>0</v>
      </c>
      <c r="N31" s="257"/>
      <c r="O31" s="68">
        <f t="shared" si="0"/>
        <v>1</v>
      </c>
    </row>
    <row r="32" spans="1:15" ht="12.75" customHeight="1">
      <c r="A32" s="542"/>
      <c r="B32" s="671" t="s">
        <v>414</v>
      </c>
      <c r="C32" s="672"/>
      <c r="D32" s="672"/>
      <c r="E32" s="672"/>
      <c r="F32" s="673"/>
      <c r="G32" s="522" t="s">
        <v>174</v>
      </c>
      <c r="H32" s="615"/>
      <c r="I32" s="616"/>
      <c r="J32" s="18"/>
      <c r="K32" s="257">
        <f>'общие сведения'!A131</f>
        <v>0</v>
      </c>
      <c r="L32" s="257"/>
      <c r="M32" s="257">
        <f>'общие сведения'!D131</f>
        <v>0</v>
      </c>
      <c r="N32" s="257"/>
      <c r="O32" s="68">
        <f t="shared" si="0"/>
        <v>1</v>
      </c>
    </row>
    <row r="33" spans="1:15" ht="12.75" customHeight="1">
      <c r="A33" s="542"/>
      <c r="B33" s="671"/>
      <c r="C33" s="672"/>
      <c r="D33" s="672"/>
      <c r="E33" s="672"/>
      <c r="F33" s="673"/>
      <c r="G33" s="19" t="s">
        <v>129</v>
      </c>
      <c r="H33" s="663" t="s">
        <v>131</v>
      </c>
      <c r="I33" s="663" t="s">
        <v>132</v>
      </c>
      <c r="J33" s="18"/>
      <c r="K33" s="257">
        <f>'общие сведения'!A132</f>
        <v>0</v>
      </c>
      <c r="L33" s="257"/>
      <c r="M33" s="257">
        <f>'общие сведения'!D132</f>
        <v>0</v>
      </c>
      <c r="N33" s="257"/>
      <c r="O33" s="68">
        <f t="shared" si="0"/>
        <v>1</v>
      </c>
    </row>
    <row r="34" spans="1:15" ht="12.75" customHeight="1">
      <c r="A34" s="542"/>
      <c r="B34" s="671"/>
      <c r="C34" s="672"/>
      <c r="D34" s="672"/>
      <c r="E34" s="672"/>
      <c r="F34" s="673"/>
      <c r="G34" s="179" t="s">
        <v>130</v>
      </c>
      <c r="H34" s="642"/>
      <c r="I34" s="642"/>
      <c r="J34" s="18"/>
      <c r="K34" s="257">
        <f>'общие сведения'!A133</f>
        <v>0</v>
      </c>
      <c r="L34" s="257"/>
      <c r="M34" s="257">
        <f>'общие сведения'!D133</f>
        <v>0</v>
      </c>
      <c r="N34" s="257"/>
      <c r="O34" s="68">
        <f t="shared" si="0"/>
        <v>1</v>
      </c>
    </row>
    <row r="35" spans="1:15" ht="2.25" customHeight="1">
      <c r="A35" s="542"/>
      <c r="B35" s="671"/>
      <c r="C35" s="672"/>
      <c r="D35" s="672"/>
      <c r="E35" s="672"/>
      <c r="F35" s="673"/>
      <c r="G35" s="20"/>
      <c r="H35" s="189"/>
      <c r="I35" s="189"/>
      <c r="J35" s="18"/>
      <c r="K35" s="257">
        <f>'общие сведения'!A134</f>
        <v>0</v>
      </c>
      <c r="L35" s="257"/>
      <c r="M35" s="257" t="e">
        <f>'общие сведения'!#REF!</f>
        <v>#REF!</v>
      </c>
      <c r="N35" s="257"/>
      <c r="O35" s="68" t="e">
        <f t="shared" si="0"/>
        <v>#REF!</v>
      </c>
    </row>
    <row r="36" spans="1:14" ht="12.75" customHeight="1">
      <c r="A36" s="543"/>
      <c r="B36" s="674"/>
      <c r="C36" s="675"/>
      <c r="D36" s="675"/>
      <c r="E36" s="675"/>
      <c r="F36" s="676"/>
      <c r="G36" s="3">
        <v>0</v>
      </c>
      <c r="H36" s="21" t="s">
        <v>274</v>
      </c>
      <c r="I36" s="178" t="s">
        <v>27</v>
      </c>
      <c r="J36" s="18"/>
      <c r="K36" s="261" t="str">
        <f>IF(OR('общие сведения'!K26=""),"Ошибка !",VLOOKUP('общие сведения'!K26,K2:N35,3))</f>
        <v>социального педагога</v>
      </c>
      <c r="L36" s="262"/>
      <c r="M36" s="263">
        <f>LEN(K36)</f>
        <v>20</v>
      </c>
      <c r="N36" s="264"/>
    </row>
    <row r="37" spans="1:14" ht="15" customHeight="1">
      <c r="A37" s="636" t="s">
        <v>133</v>
      </c>
      <c r="B37" s="678"/>
      <c r="C37" s="646"/>
      <c r="D37" s="646"/>
      <c r="E37" s="646"/>
      <c r="F37" s="647"/>
      <c r="G37" s="641">
        <f>IF(B37="","",IF(AND(H37="",I37=""),0,IF(OR(H37="",I37=""),"","ОШИБКА!")))</f>
      </c>
      <c r="H37" s="607"/>
      <c r="I37" s="607"/>
      <c r="J37" s="18"/>
      <c r="K37" s="265">
        <f>IF(ISERR(FIND(LEFT(K36,5),C12)),0,1)</f>
        <v>0</v>
      </c>
      <c r="L37" s="591"/>
      <c r="M37" s="591"/>
      <c r="N37" s="266"/>
    </row>
    <row r="38" spans="1:14" ht="15" customHeight="1">
      <c r="A38" s="637"/>
      <c r="B38" s="648"/>
      <c r="C38" s="649"/>
      <c r="D38" s="649"/>
      <c r="E38" s="649"/>
      <c r="F38" s="650"/>
      <c r="G38" s="642"/>
      <c r="H38" s="644"/>
      <c r="I38" s="644"/>
      <c r="J38" s="18"/>
      <c r="K38" s="57" t="s">
        <v>216</v>
      </c>
      <c r="L38" s="60">
        <f>SUM(L39:L56)</f>
        <v>500</v>
      </c>
      <c r="M38" s="60">
        <f>SUM(M39:M56)</f>
        <v>0</v>
      </c>
      <c r="N38" s="234">
        <f>SUM(L38:M38)</f>
        <v>500</v>
      </c>
    </row>
    <row r="39" spans="1:13" ht="15" customHeight="1">
      <c r="A39" s="637"/>
      <c r="B39" s="648"/>
      <c r="C39" s="649"/>
      <c r="D39" s="649"/>
      <c r="E39" s="649"/>
      <c r="F39" s="650"/>
      <c r="G39" s="642"/>
      <c r="H39" s="644"/>
      <c r="I39" s="644"/>
      <c r="J39" s="18"/>
      <c r="L39" s="111"/>
      <c r="M39" s="58"/>
    </row>
    <row r="40" spans="1:13" ht="15" customHeight="1">
      <c r="A40" s="638"/>
      <c r="B40" s="651"/>
      <c r="C40" s="652"/>
      <c r="D40" s="652"/>
      <c r="E40" s="652"/>
      <c r="F40" s="653"/>
      <c r="G40" s="643"/>
      <c r="H40" s="540"/>
      <c r="I40" s="540"/>
      <c r="J40" s="18"/>
      <c r="K40" s="57">
        <f>MAX(G37:I40)</f>
        <v>0</v>
      </c>
      <c r="L40" s="111">
        <v>100</v>
      </c>
      <c r="M40" s="59"/>
    </row>
    <row r="41" spans="1:13" ht="15" customHeight="1">
      <c r="A41" s="636" t="s">
        <v>134</v>
      </c>
      <c r="B41" s="645"/>
      <c r="C41" s="646"/>
      <c r="D41" s="646"/>
      <c r="E41" s="646"/>
      <c r="F41" s="647"/>
      <c r="G41" s="641">
        <f>IF(B41="","",IF(AND(H41="",I41=""),0,IF(OR(H41="",I41=""),"","ОШИБКА!")))</f>
      </c>
      <c r="H41" s="607"/>
      <c r="I41" s="607"/>
      <c r="J41" s="18"/>
      <c r="L41" s="110"/>
      <c r="M41" s="59"/>
    </row>
    <row r="42" spans="1:13" ht="15" customHeight="1">
      <c r="A42" s="637"/>
      <c r="B42" s="648"/>
      <c r="C42" s="649"/>
      <c r="D42" s="649"/>
      <c r="E42" s="649"/>
      <c r="F42" s="650"/>
      <c r="G42" s="642"/>
      <c r="H42" s="644"/>
      <c r="I42" s="644"/>
      <c r="J42" s="18"/>
      <c r="L42" s="110"/>
      <c r="M42" s="59"/>
    </row>
    <row r="43" spans="1:13" ht="15" customHeight="1">
      <c r="A43" s="637"/>
      <c r="B43" s="648"/>
      <c r="C43" s="649"/>
      <c r="D43" s="649"/>
      <c r="E43" s="649"/>
      <c r="F43" s="650"/>
      <c r="G43" s="642"/>
      <c r="H43" s="644"/>
      <c r="I43" s="644"/>
      <c r="J43" s="18"/>
      <c r="L43" s="110"/>
      <c r="M43" s="59"/>
    </row>
    <row r="44" spans="1:13" ht="15" customHeight="1">
      <c r="A44" s="638"/>
      <c r="B44" s="651"/>
      <c r="C44" s="652"/>
      <c r="D44" s="652"/>
      <c r="E44" s="652"/>
      <c r="F44" s="653"/>
      <c r="G44" s="643"/>
      <c r="H44" s="540"/>
      <c r="I44" s="540"/>
      <c r="J44" s="18"/>
      <c r="K44" s="57">
        <f>MAX(G41:I44)</f>
        <v>0</v>
      </c>
      <c r="L44" s="111">
        <v>100</v>
      </c>
      <c r="M44" s="59"/>
    </row>
    <row r="45" spans="1:13" ht="15" customHeight="1">
      <c r="A45" s="636" t="s">
        <v>135</v>
      </c>
      <c r="B45" s="645"/>
      <c r="C45" s="646"/>
      <c r="D45" s="646"/>
      <c r="E45" s="646"/>
      <c r="F45" s="647"/>
      <c r="G45" s="641">
        <f>IF(B45="","",IF(AND(H45="",I45=""),0,IF(OR(H45="",I45=""),"","ОШИБКА!")))</f>
      </c>
      <c r="H45" s="607"/>
      <c r="I45" s="607"/>
      <c r="J45" s="18"/>
      <c r="L45" s="110"/>
      <c r="M45" s="59"/>
    </row>
    <row r="46" spans="1:13" ht="15" customHeight="1">
      <c r="A46" s="637"/>
      <c r="B46" s="648"/>
      <c r="C46" s="649"/>
      <c r="D46" s="649"/>
      <c r="E46" s="649"/>
      <c r="F46" s="650"/>
      <c r="G46" s="642"/>
      <c r="H46" s="644"/>
      <c r="I46" s="644"/>
      <c r="J46" s="18"/>
      <c r="L46" s="110"/>
      <c r="M46" s="59"/>
    </row>
    <row r="47" spans="1:13" ht="15" customHeight="1">
      <c r="A47" s="637"/>
      <c r="B47" s="648"/>
      <c r="C47" s="649"/>
      <c r="D47" s="649"/>
      <c r="E47" s="649"/>
      <c r="F47" s="650"/>
      <c r="G47" s="642"/>
      <c r="H47" s="644"/>
      <c r="I47" s="644"/>
      <c r="J47" s="18"/>
      <c r="L47" s="110"/>
      <c r="M47" s="59"/>
    </row>
    <row r="48" spans="1:13" ht="15" customHeight="1">
      <c r="A48" s="638"/>
      <c r="B48" s="651"/>
      <c r="C48" s="652"/>
      <c r="D48" s="652"/>
      <c r="E48" s="652"/>
      <c r="F48" s="653"/>
      <c r="G48" s="643"/>
      <c r="H48" s="540"/>
      <c r="I48" s="540"/>
      <c r="J48" s="18"/>
      <c r="K48" s="57">
        <f>MAX(G45:I48)</f>
        <v>0</v>
      </c>
      <c r="L48" s="111">
        <v>100</v>
      </c>
      <c r="M48" s="59"/>
    </row>
    <row r="49" spans="1:13" ht="15" customHeight="1">
      <c r="A49" s="636" t="s">
        <v>136</v>
      </c>
      <c r="B49" s="645"/>
      <c r="C49" s="646"/>
      <c r="D49" s="646"/>
      <c r="E49" s="646"/>
      <c r="F49" s="647"/>
      <c r="G49" s="641">
        <f>IF(B49="","",IF(AND(H49="",I49=""),0,IF(OR(H49="",I49=""),"","ОШИБКА!")))</f>
      </c>
      <c r="H49" s="607"/>
      <c r="I49" s="607"/>
      <c r="J49" s="18"/>
      <c r="L49" s="110"/>
      <c r="M49" s="59"/>
    </row>
    <row r="50" spans="1:13" ht="15" customHeight="1">
      <c r="A50" s="637"/>
      <c r="B50" s="648"/>
      <c r="C50" s="649"/>
      <c r="D50" s="649"/>
      <c r="E50" s="649"/>
      <c r="F50" s="650"/>
      <c r="G50" s="642"/>
      <c r="H50" s="644"/>
      <c r="I50" s="689"/>
      <c r="J50" s="18"/>
      <c r="L50" s="110"/>
      <c r="M50" s="59"/>
    </row>
    <row r="51" spans="1:13" ht="15" customHeight="1">
      <c r="A51" s="637"/>
      <c r="B51" s="648"/>
      <c r="C51" s="649"/>
      <c r="D51" s="649"/>
      <c r="E51" s="649"/>
      <c r="F51" s="650"/>
      <c r="G51" s="642"/>
      <c r="H51" s="644"/>
      <c r="I51" s="689"/>
      <c r="J51" s="18"/>
      <c r="L51" s="110"/>
      <c r="M51" s="59"/>
    </row>
    <row r="52" spans="1:13" ht="15" customHeight="1">
      <c r="A52" s="638"/>
      <c r="B52" s="651"/>
      <c r="C52" s="652"/>
      <c r="D52" s="652"/>
      <c r="E52" s="652"/>
      <c r="F52" s="653"/>
      <c r="G52" s="643"/>
      <c r="H52" s="540"/>
      <c r="I52" s="690"/>
      <c r="J52" s="18"/>
      <c r="K52" s="57">
        <f>MAX(G49:I52)</f>
        <v>0</v>
      </c>
      <c r="L52" s="111">
        <v>100</v>
      </c>
      <c r="M52" s="59"/>
    </row>
    <row r="53" spans="1:13" ht="15" customHeight="1">
      <c r="A53" s="636" t="s">
        <v>137</v>
      </c>
      <c r="B53" s="645"/>
      <c r="C53" s="646"/>
      <c r="D53" s="646"/>
      <c r="E53" s="646"/>
      <c r="F53" s="647"/>
      <c r="G53" s="641">
        <f>IF(B53="","",IF(AND(H53="",I53=""),0,IF(OR(H53="",I53=""),"","ОШИБКА!")))</f>
      </c>
      <c r="H53" s="607"/>
      <c r="I53" s="607"/>
      <c r="J53" s="18"/>
      <c r="L53" s="110"/>
      <c r="M53" s="59"/>
    </row>
    <row r="54" spans="1:13" ht="15" customHeight="1">
      <c r="A54" s="637"/>
      <c r="B54" s="648"/>
      <c r="C54" s="649"/>
      <c r="D54" s="649"/>
      <c r="E54" s="649"/>
      <c r="F54" s="650"/>
      <c r="G54" s="642"/>
      <c r="H54" s="644"/>
      <c r="I54" s="689"/>
      <c r="J54" s="18"/>
      <c r="L54" s="110"/>
      <c r="M54" s="59"/>
    </row>
    <row r="55" spans="1:13" ht="15" customHeight="1">
      <c r="A55" s="637"/>
      <c r="B55" s="648"/>
      <c r="C55" s="649"/>
      <c r="D55" s="649"/>
      <c r="E55" s="649"/>
      <c r="F55" s="650"/>
      <c r="G55" s="642"/>
      <c r="H55" s="644"/>
      <c r="I55" s="689"/>
      <c r="J55" s="18"/>
      <c r="L55" s="110"/>
      <c r="M55" s="59"/>
    </row>
    <row r="56" spans="1:13" ht="15" customHeight="1">
      <c r="A56" s="638"/>
      <c r="B56" s="651"/>
      <c r="C56" s="652"/>
      <c r="D56" s="652"/>
      <c r="E56" s="652"/>
      <c r="F56" s="653"/>
      <c r="G56" s="643"/>
      <c r="H56" s="540"/>
      <c r="I56" s="690"/>
      <c r="J56" s="18"/>
      <c r="K56" s="57">
        <f>MAX(G53:I56)</f>
        <v>0</v>
      </c>
      <c r="L56" s="251">
        <v>100</v>
      </c>
      <c r="M56" s="60"/>
    </row>
    <row r="57" spans="1:9" ht="3" customHeight="1">
      <c r="A57" s="199"/>
      <c r="B57" s="194"/>
      <c r="C57" s="194"/>
      <c r="D57" s="192"/>
      <c r="E57" s="192"/>
      <c r="F57" s="192"/>
      <c r="G57" s="192"/>
      <c r="H57" s="192"/>
      <c r="I57" s="192"/>
    </row>
    <row r="58" spans="1:9" ht="30" customHeight="1">
      <c r="A58" s="200" t="s">
        <v>134</v>
      </c>
      <c r="B58" s="568" t="s">
        <v>193</v>
      </c>
      <c r="C58" s="568"/>
      <c r="D58" s="568"/>
      <c r="E58" s="568"/>
      <c r="F58" s="568"/>
      <c r="G58" s="568"/>
      <c r="H58" s="568"/>
      <c r="I58" s="568"/>
    </row>
    <row r="59" spans="1:9" ht="15" customHeight="1">
      <c r="A59" s="168" t="s">
        <v>189</v>
      </c>
      <c r="B59" s="556" t="s">
        <v>190</v>
      </c>
      <c r="C59" s="556"/>
      <c r="D59" s="556"/>
      <c r="E59" s="556"/>
      <c r="F59" s="556"/>
      <c r="G59" s="556"/>
      <c r="H59" s="556"/>
      <c r="I59" s="556"/>
    </row>
    <row r="60" spans="1:9" ht="15">
      <c r="A60" s="134"/>
      <c r="B60" s="556"/>
      <c r="C60" s="556"/>
      <c r="D60" s="556"/>
      <c r="E60" s="556"/>
      <c r="F60" s="556"/>
      <c r="G60" s="556"/>
      <c r="H60" s="556"/>
      <c r="I60" s="556"/>
    </row>
    <row r="61" spans="1:9" ht="15" customHeight="1">
      <c r="A61" s="168" t="s">
        <v>189</v>
      </c>
      <c r="B61" s="556" t="s">
        <v>268</v>
      </c>
      <c r="C61" s="556"/>
      <c r="D61" s="556"/>
      <c r="E61" s="556"/>
      <c r="F61" s="556"/>
      <c r="G61" s="556"/>
      <c r="H61" s="556"/>
      <c r="I61" s="556"/>
    </row>
    <row r="62" spans="1:9" ht="15">
      <c r="A62" s="134"/>
      <c r="B62" s="556"/>
      <c r="C62" s="556"/>
      <c r="D62" s="556"/>
      <c r="E62" s="556"/>
      <c r="F62" s="556"/>
      <c r="G62" s="556"/>
      <c r="H62" s="556"/>
      <c r="I62" s="556"/>
    </row>
    <row r="63" spans="1:13" ht="15">
      <c r="A63" s="134"/>
      <c r="B63" s="556" t="s">
        <v>267</v>
      </c>
      <c r="C63" s="556"/>
      <c r="D63" s="556"/>
      <c r="E63" s="556"/>
      <c r="F63" s="556"/>
      <c r="G63" s="556"/>
      <c r="H63" s="556"/>
      <c r="I63" s="556"/>
      <c r="L63" s="130"/>
      <c r="M63" s="131"/>
    </row>
    <row r="64" spans="1:13" ht="15">
      <c r="A64" s="134"/>
      <c r="B64" s="556"/>
      <c r="C64" s="556"/>
      <c r="D64" s="556"/>
      <c r="E64" s="556"/>
      <c r="F64" s="556"/>
      <c r="G64" s="556"/>
      <c r="H64" s="556"/>
      <c r="I64" s="556"/>
      <c r="L64" s="81" t="s">
        <v>217</v>
      </c>
      <c r="M64" s="62"/>
    </row>
    <row r="65" spans="1:13" ht="6.75" customHeight="1">
      <c r="A65" s="201"/>
      <c r="B65" s="213"/>
      <c r="C65" s="213"/>
      <c r="D65" s="213"/>
      <c r="E65" s="107"/>
      <c r="F65" s="107"/>
      <c r="G65" s="107"/>
      <c r="H65" s="107"/>
      <c r="I65" s="107"/>
      <c r="L65" s="81"/>
      <c r="M65" s="62"/>
    </row>
    <row r="66" spans="1:14" s="22" customFormat="1" ht="14.25" customHeight="1">
      <c r="A66" s="541" t="s">
        <v>214</v>
      </c>
      <c r="B66" s="544" t="s">
        <v>138</v>
      </c>
      <c r="C66" s="545"/>
      <c r="D66" s="516" t="s">
        <v>180</v>
      </c>
      <c r="E66" s="519" t="s">
        <v>139</v>
      </c>
      <c r="F66" s="520"/>
      <c r="G66" s="520"/>
      <c r="H66" s="520"/>
      <c r="I66" s="521"/>
      <c r="K66" s="57"/>
      <c r="L66" s="66"/>
      <c r="M66" s="66" t="s">
        <v>218</v>
      </c>
      <c r="N66" s="9"/>
    </row>
    <row r="67" spans="1:16" s="22" customFormat="1" ht="15" customHeight="1">
      <c r="A67" s="542"/>
      <c r="B67" s="546"/>
      <c r="C67" s="547"/>
      <c r="D67" s="517"/>
      <c r="E67" s="522" t="s">
        <v>140</v>
      </c>
      <c r="F67" s="523"/>
      <c r="G67" s="523"/>
      <c r="H67" s="523"/>
      <c r="I67" s="524"/>
      <c r="K67" s="57"/>
      <c r="L67" s="65">
        <f>SUM(L78:L187)</f>
        <v>1700</v>
      </c>
      <c r="M67" s="86">
        <f>SUM(M78:M187)</f>
        <v>2230</v>
      </c>
      <c r="N67" s="235">
        <f>SUM(L67:M67)</f>
        <v>3930</v>
      </c>
      <c r="O67" s="77"/>
      <c r="P67" s="77"/>
    </row>
    <row r="68" spans="1:14" s="22" customFormat="1" ht="12.75" customHeight="1">
      <c r="A68" s="543"/>
      <c r="B68" s="548"/>
      <c r="C68" s="549"/>
      <c r="D68" s="518"/>
      <c r="E68" s="3">
        <v>0</v>
      </c>
      <c r="F68" s="95" t="s">
        <v>24</v>
      </c>
      <c r="G68" s="3" t="s">
        <v>25</v>
      </c>
      <c r="H68" s="3" t="s">
        <v>141</v>
      </c>
      <c r="I68" s="3" t="s">
        <v>26</v>
      </c>
      <c r="K68" s="57"/>
      <c r="L68" s="67"/>
      <c r="M68" s="68"/>
      <c r="N68" s="9"/>
    </row>
    <row r="69" spans="1:13" ht="12.75" customHeight="1">
      <c r="A69" s="681" t="s">
        <v>142</v>
      </c>
      <c r="B69" s="683" t="s">
        <v>143</v>
      </c>
      <c r="C69" s="684"/>
      <c r="D69" s="684"/>
      <c r="E69" s="684"/>
      <c r="F69" s="684"/>
      <c r="G69" s="684"/>
      <c r="H69" s="684"/>
      <c r="I69" s="685"/>
      <c r="L69" s="67"/>
      <c r="M69" s="68"/>
    </row>
    <row r="70" spans="1:13" ht="17.25" customHeight="1">
      <c r="A70" s="682"/>
      <c r="B70" s="686"/>
      <c r="C70" s="687"/>
      <c r="D70" s="687"/>
      <c r="E70" s="687"/>
      <c r="F70" s="687"/>
      <c r="G70" s="687"/>
      <c r="H70" s="687"/>
      <c r="I70" s="688"/>
      <c r="L70" s="67"/>
      <c r="M70" s="68"/>
    </row>
    <row r="71" spans="1:13" ht="12.75" customHeight="1">
      <c r="A71" s="572" t="s">
        <v>144</v>
      </c>
      <c r="B71" s="560" t="s">
        <v>375</v>
      </c>
      <c r="C71" s="575"/>
      <c r="D71" s="527" t="s">
        <v>273</v>
      </c>
      <c r="E71" s="557" t="s">
        <v>145</v>
      </c>
      <c r="F71" s="24" t="s">
        <v>353</v>
      </c>
      <c r="G71" s="34" t="s">
        <v>146</v>
      </c>
      <c r="H71" s="24" t="s">
        <v>148</v>
      </c>
      <c r="I71" s="28" t="s">
        <v>149</v>
      </c>
      <c r="L71" s="67"/>
      <c r="M71" s="68"/>
    </row>
    <row r="72" spans="1:13" ht="12.75" customHeight="1">
      <c r="A72" s="573"/>
      <c r="B72" s="576"/>
      <c r="C72" s="577"/>
      <c r="D72" s="528"/>
      <c r="E72" s="558"/>
      <c r="F72" s="25" t="s">
        <v>354</v>
      </c>
      <c r="G72" s="27" t="s">
        <v>147</v>
      </c>
      <c r="H72" s="25" t="s">
        <v>147</v>
      </c>
      <c r="I72" s="26" t="s">
        <v>150</v>
      </c>
      <c r="L72" s="67"/>
      <c r="M72" s="68"/>
    </row>
    <row r="73" spans="1:13" ht="12.75" customHeight="1">
      <c r="A73" s="573"/>
      <c r="B73" s="576"/>
      <c r="C73" s="577"/>
      <c r="D73" s="528"/>
      <c r="E73" s="558"/>
      <c r="F73" s="97"/>
      <c r="G73" s="101"/>
      <c r="H73" s="102"/>
      <c r="I73" s="26" t="s">
        <v>147</v>
      </c>
      <c r="L73" s="67"/>
      <c r="M73" s="68"/>
    </row>
    <row r="74" spans="1:13" ht="6" customHeight="1">
      <c r="A74" s="573"/>
      <c r="B74" s="576"/>
      <c r="C74" s="577"/>
      <c r="D74" s="528"/>
      <c r="E74" s="558"/>
      <c r="F74" s="97"/>
      <c r="G74" s="118"/>
      <c r="H74" s="119"/>
      <c r="I74" s="26"/>
      <c r="L74" s="67"/>
      <c r="M74" s="68"/>
    </row>
    <row r="75" spans="1:13" ht="12.75" customHeight="1">
      <c r="A75" s="573"/>
      <c r="B75" s="576"/>
      <c r="C75" s="577"/>
      <c r="D75" s="528"/>
      <c r="E75" s="558"/>
      <c r="F75" s="105" t="s">
        <v>250</v>
      </c>
      <c r="G75" s="113" t="s">
        <v>251</v>
      </c>
      <c r="H75" s="105" t="s">
        <v>30</v>
      </c>
      <c r="I75" s="114" t="s">
        <v>230</v>
      </c>
      <c r="L75" s="67"/>
      <c r="M75" s="68"/>
    </row>
    <row r="76" spans="1:13" ht="12.75" customHeight="1">
      <c r="A76" s="573"/>
      <c r="B76" s="576"/>
      <c r="C76" s="577"/>
      <c r="D76" s="528"/>
      <c r="E76" s="558"/>
      <c r="F76" s="105" t="s">
        <v>249</v>
      </c>
      <c r="G76" s="113" t="s">
        <v>252</v>
      </c>
      <c r="H76" s="105" t="s">
        <v>28</v>
      </c>
      <c r="I76" s="114" t="s">
        <v>231</v>
      </c>
      <c r="L76" s="67"/>
      <c r="M76" s="68"/>
    </row>
    <row r="77" spans="1:13" ht="12.75" customHeight="1">
      <c r="A77" s="573"/>
      <c r="B77" s="576"/>
      <c r="C77" s="577"/>
      <c r="D77" s="528"/>
      <c r="E77" s="558"/>
      <c r="F77" s="105" t="s">
        <v>32</v>
      </c>
      <c r="G77" s="113" t="s">
        <v>29</v>
      </c>
      <c r="H77" s="105" t="s">
        <v>229</v>
      </c>
      <c r="I77" s="114" t="s">
        <v>232</v>
      </c>
      <c r="L77" s="69"/>
      <c r="M77" s="70"/>
    </row>
    <row r="78" spans="1:13" ht="47.25" customHeight="1">
      <c r="A78" s="573"/>
      <c r="B78" s="576"/>
      <c r="C78" s="577"/>
      <c r="D78" s="528"/>
      <c r="E78" s="558"/>
      <c r="F78" s="115"/>
      <c r="G78" s="116"/>
      <c r="H78" s="115"/>
      <c r="I78" s="114" t="s">
        <v>31</v>
      </c>
      <c r="L78" s="61"/>
      <c r="M78" s="62"/>
    </row>
    <row r="79" spans="1:13" ht="3" customHeight="1">
      <c r="A79" s="573"/>
      <c r="B79" s="576"/>
      <c r="C79" s="577"/>
      <c r="D79" s="528"/>
      <c r="E79" s="89"/>
      <c r="F79" s="117"/>
      <c r="G79" s="180"/>
      <c r="H79" s="117"/>
      <c r="I79" s="114"/>
      <c r="L79" s="63"/>
      <c r="M79" s="64"/>
    </row>
    <row r="80" spans="1:13" ht="12.75">
      <c r="A80" s="573"/>
      <c r="B80" s="576"/>
      <c r="C80" s="577"/>
      <c r="D80" s="528"/>
      <c r="E80" s="530">
        <f>IF(AND(F80="",G80="",H80="",I80=""),IF($D$9="","",0),"")</f>
      </c>
      <c r="F80" s="566"/>
      <c r="G80" s="566"/>
      <c r="H80" s="566"/>
      <c r="I80" s="566"/>
      <c r="K80" s="57">
        <f>SUM(E80:I81)</f>
        <v>0</v>
      </c>
      <c r="L80" s="63">
        <v>250</v>
      </c>
      <c r="M80" s="64"/>
    </row>
    <row r="81" spans="1:13" ht="12.75">
      <c r="A81" s="574"/>
      <c r="B81" s="578"/>
      <c r="C81" s="579"/>
      <c r="D81" s="529"/>
      <c r="E81" s="531"/>
      <c r="F81" s="567"/>
      <c r="G81" s="567"/>
      <c r="H81" s="567"/>
      <c r="I81" s="567"/>
      <c r="L81" s="63"/>
      <c r="M81" s="64"/>
    </row>
    <row r="82" spans="1:13" ht="12.75" customHeight="1">
      <c r="A82" s="572" t="s">
        <v>151</v>
      </c>
      <c r="B82" s="560" t="s">
        <v>376</v>
      </c>
      <c r="C82" s="575"/>
      <c r="D82" s="527" t="s">
        <v>347</v>
      </c>
      <c r="E82" s="557" t="s">
        <v>175</v>
      </c>
      <c r="F82" s="24" t="s">
        <v>353</v>
      </c>
      <c r="G82" s="24" t="s">
        <v>146</v>
      </c>
      <c r="H82" s="27" t="s">
        <v>148</v>
      </c>
      <c r="I82" s="24" t="s">
        <v>152</v>
      </c>
      <c r="L82" s="63"/>
      <c r="M82" s="64"/>
    </row>
    <row r="83" spans="1:13" ht="12.75" customHeight="1">
      <c r="A83" s="573"/>
      <c r="B83" s="576"/>
      <c r="C83" s="577"/>
      <c r="D83" s="528"/>
      <c r="E83" s="558"/>
      <c r="F83" s="25" t="s">
        <v>354</v>
      </c>
      <c r="G83" s="25" t="s">
        <v>147</v>
      </c>
      <c r="H83" s="27" t="s">
        <v>147</v>
      </c>
      <c r="I83" s="25" t="s">
        <v>147</v>
      </c>
      <c r="L83" s="63"/>
      <c r="M83" s="64"/>
    </row>
    <row r="84" spans="1:13" ht="6.75" customHeight="1">
      <c r="A84" s="573"/>
      <c r="B84" s="576"/>
      <c r="C84" s="577"/>
      <c r="D84" s="528"/>
      <c r="E84" s="558"/>
      <c r="F84" s="1"/>
      <c r="G84" s="25"/>
      <c r="H84" s="27"/>
      <c r="I84" s="25"/>
      <c r="L84" s="63"/>
      <c r="M84" s="64"/>
    </row>
    <row r="85" spans="1:13" ht="12.75" customHeight="1">
      <c r="A85" s="573"/>
      <c r="B85" s="576"/>
      <c r="C85" s="577"/>
      <c r="D85" s="528"/>
      <c r="E85" s="558"/>
      <c r="F85" s="120" t="s">
        <v>343</v>
      </c>
      <c r="G85" s="105" t="s">
        <v>344</v>
      </c>
      <c r="H85" s="113" t="s">
        <v>338</v>
      </c>
      <c r="I85" s="105" t="s">
        <v>339</v>
      </c>
      <c r="L85" s="63"/>
      <c r="M85" s="64"/>
    </row>
    <row r="86" spans="1:13" ht="12.75" customHeight="1">
      <c r="A86" s="573"/>
      <c r="B86" s="576"/>
      <c r="C86" s="577"/>
      <c r="D86" s="528"/>
      <c r="E86" s="558"/>
      <c r="F86" s="120" t="s">
        <v>345</v>
      </c>
      <c r="G86" s="105" t="s">
        <v>346</v>
      </c>
      <c r="H86" s="113" t="s">
        <v>340</v>
      </c>
      <c r="I86" s="105" t="s">
        <v>341</v>
      </c>
      <c r="L86" s="63"/>
      <c r="M86" s="64"/>
    </row>
    <row r="87" spans="1:13" ht="12.75" customHeight="1">
      <c r="A87" s="573"/>
      <c r="B87" s="576"/>
      <c r="C87" s="577"/>
      <c r="D87" s="528"/>
      <c r="E87" s="558"/>
      <c r="F87" s="120" t="s">
        <v>32</v>
      </c>
      <c r="G87" s="105" t="s">
        <v>29</v>
      </c>
      <c r="H87" s="113" t="s">
        <v>229</v>
      </c>
      <c r="I87" s="105" t="s">
        <v>342</v>
      </c>
      <c r="L87" s="63"/>
      <c r="M87" s="64"/>
    </row>
    <row r="88" spans="1:13" ht="45" customHeight="1">
      <c r="A88" s="573"/>
      <c r="B88" s="576"/>
      <c r="C88" s="577"/>
      <c r="D88" s="528"/>
      <c r="E88" s="559"/>
      <c r="F88" s="132"/>
      <c r="G88" s="121"/>
      <c r="H88" s="132"/>
      <c r="I88" s="106" t="s">
        <v>31</v>
      </c>
      <c r="L88" s="63"/>
      <c r="M88" s="64"/>
    </row>
    <row r="89" spans="1:13" ht="12.75" customHeight="1">
      <c r="A89" s="573"/>
      <c r="B89" s="576"/>
      <c r="C89" s="577"/>
      <c r="D89" s="528"/>
      <c r="E89" s="530">
        <f>IF(AND(F89="",G89="",H89="",I89=""),IF($D$9="","",0),"")</f>
      </c>
      <c r="F89" s="566"/>
      <c r="G89" s="566"/>
      <c r="H89" s="566"/>
      <c r="I89" s="566"/>
      <c r="K89" s="57">
        <f>SUM(E89:I90)</f>
        <v>0</v>
      </c>
      <c r="L89" s="63">
        <v>250</v>
      </c>
      <c r="M89" s="64"/>
    </row>
    <row r="90" spans="1:13" ht="12.75" customHeight="1">
      <c r="A90" s="574"/>
      <c r="B90" s="578"/>
      <c r="C90" s="579"/>
      <c r="D90" s="529"/>
      <c r="E90" s="531"/>
      <c r="F90" s="567"/>
      <c r="G90" s="567"/>
      <c r="H90" s="567"/>
      <c r="I90" s="567"/>
      <c r="L90" s="63"/>
      <c r="M90" s="64"/>
    </row>
    <row r="91" spans="1:13" ht="12.75" customHeight="1">
      <c r="A91" s="572" t="s">
        <v>153</v>
      </c>
      <c r="B91" s="560" t="s">
        <v>23</v>
      </c>
      <c r="C91" s="561"/>
      <c r="D91" s="527" t="s">
        <v>248</v>
      </c>
      <c r="E91" s="557" t="s">
        <v>176</v>
      </c>
      <c r="F91" s="24" t="s">
        <v>353</v>
      </c>
      <c r="G91" s="24" t="s">
        <v>146</v>
      </c>
      <c r="H91" s="34" t="s">
        <v>148</v>
      </c>
      <c r="I91" s="24" t="s">
        <v>152</v>
      </c>
      <c r="L91" s="63"/>
      <c r="M91" s="64"/>
    </row>
    <row r="92" spans="1:13" ht="12.75" customHeight="1">
      <c r="A92" s="573"/>
      <c r="B92" s="562"/>
      <c r="C92" s="563"/>
      <c r="D92" s="528"/>
      <c r="E92" s="558"/>
      <c r="F92" s="25" t="s">
        <v>354</v>
      </c>
      <c r="G92" s="25" t="s">
        <v>147</v>
      </c>
      <c r="H92" s="27" t="s">
        <v>147</v>
      </c>
      <c r="I92" s="25" t="s">
        <v>147</v>
      </c>
      <c r="L92" s="63"/>
      <c r="M92" s="64"/>
    </row>
    <row r="93" spans="1:13" ht="12.75" customHeight="1">
      <c r="A93" s="573"/>
      <c r="B93" s="562"/>
      <c r="C93" s="563"/>
      <c r="D93" s="528"/>
      <c r="E93" s="558"/>
      <c r="F93" s="103"/>
      <c r="G93" s="188"/>
      <c r="H93" s="151"/>
      <c r="I93" s="188"/>
      <c r="L93" s="63"/>
      <c r="M93" s="64"/>
    </row>
    <row r="94" spans="1:13" ht="12.75" customHeight="1">
      <c r="A94" s="573"/>
      <c r="B94" s="562"/>
      <c r="C94" s="563"/>
      <c r="D94" s="528"/>
      <c r="E94" s="558"/>
      <c r="F94" s="120" t="s">
        <v>33</v>
      </c>
      <c r="G94" s="105" t="s">
        <v>36</v>
      </c>
      <c r="H94" s="113" t="s">
        <v>233</v>
      </c>
      <c r="I94" s="105" t="s">
        <v>234</v>
      </c>
      <c r="L94" s="63"/>
      <c r="M94" s="64"/>
    </row>
    <row r="95" spans="1:13" ht="12.75" customHeight="1">
      <c r="A95" s="573"/>
      <c r="B95" s="562"/>
      <c r="C95" s="563"/>
      <c r="D95" s="528"/>
      <c r="E95" s="558"/>
      <c r="F95" s="120" t="s">
        <v>34</v>
      </c>
      <c r="G95" s="105" t="s">
        <v>35</v>
      </c>
      <c r="H95" s="113" t="s">
        <v>235</v>
      </c>
      <c r="I95" s="105" t="s">
        <v>236</v>
      </c>
      <c r="L95" s="63"/>
      <c r="M95" s="64"/>
    </row>
    <row r="96" spans="1:13" ht="12.75" customHeight="1">
      <c r="A96" s="573"/>
      <c r="B96" s="562"/>
      <c r="C96" s="563"/>
      <c r="D96" s="528"/>
      <c r="E96" s="558"/>
      <c r="F96" s="120" t="s">
        <v>32</v>
      </c>
      <c r="G96" s="105" t="s">
        <v>29</v>
      </c>
      <c r="H96" s="113" t="s">
        <v>225</v>
      </c>
      <c r="I96" s="105" t="s">
        <v>237</v>
      </c>
      <c r="L96" s="63"/>
      <c r="M96" s="64"/>
    </row>
    <row r="97" spans="1:13" ht="12.75" customHeight="1">
      <c r="A97" s="573"/>
      <c r="B97" s="562"/>
      <c r="C97" s="563"/>
      <c r="D97" s="528"/>
      <c r="E97" s="558"/>
      <c r="F97" s="120"/>
      <c r="G97" s="105"/>
      <c r="H97" s="113"/>
      <c r="I97" s="594" t="s">
        <v>37</v>
      </c>
      <c r="L97" s="63"/>
      <c r="M97" s="64"/>
    </row>
    <row r="98" spans="1:13" ht="12.75" customHeight="1">
      <c r="A98" s="573"/>
      <c r="B98" s="562"/>
      <c r="C98" s="563"/>
      <c r="D98" s="528"/>
      <c r="E98" s="558"/>
      <c r="F98" s="120"/>
      <c r="G98" s="105"/>
      <c r="H98" s="113"/>
      <c r="I98" s="594"/>
      <c r="L98" s="63"/>
      <c r="M98" s="64"/>
    </row>
    <row r="99" spans="1:13" ht="12.75" customHeight="1">
      <c r="A99" s="573"/>
      <c r="B99" s="214"/>
      <c r="C99" s="215"/>
      <c r="D99" s="528"/>
      <c r="E99" s="558"/>
      <c r="F99" s="120"/>
      <c r="G99" s="105"/>
      <c r="H99" s="113"/>
      <c r="I99" s="123"/>
      <c r="L99" s="63"/>
      <c r="M99" s="64"/>
    </row>
    <row r="100" spans="1:13" ht="118.5" customHeight="1">
      <c r="A100" s="573"/>
      <c r="B100" s="691" t="s">
        <v>377</v>
      </c>
      <c r="C100" s="692"/>
      <c r="D100" s="528"/>
      <c r="E100" s="559"/>
      <c r="F100" s="122"/>
      <c r="G100" s="121"/>
      <c r="H100" s="132"/>
      <c r="I100" s="170"/>
      <c r="L100" s="63"/>
      <c r="M100" s="64"/>
    </row>
    <row r="101" spans="1:13" ht="12.75" customHeight="1">
      <c r="A101" s="573"/>
      <c r="B101" s="103"/>
      <c r="C101" s="216"/>
      <c r="D101" s="528"/>
      <c r="E101" s="530">
        <f>IF(AND(F101="",G101="",H101="",I101=""),IF($D$9="","",0),"")</f>
      </c>
      <c r="F101" s="566"/>
      <c r="G101" s="566"/>
      <c r="H101" s="566"/>
      <c r="I101" s="566"/>
      <c r="K101" s="57">
        <f>SUM(E101:I102)</f>
        <v>0</v>
      </c>
      <c r="L101" s="63">
        <v>250</v>
      </c>
      <c r="M101" s="64"/>
    </row>
    <row r="102" spans="1:13" ht="12.75" customHeight="1">
      <c r="A102" s="574"/>
      <c r="B102" s="171"/>
      <c r="C102" s="217"/>
      <c r="D102" s="529"/>
      <c r="E102" s="531"/>
      <c r="F102" s="567"/>
      <c r="G102" s="567"/>
      <c r="H102" s="567"/>
      <c r="I102" s="567"/>
      <c r="L102" s="63"/>
      <c r="M102" s="64"/>
    </row>
    <row r="103" spans="1:15" s="22" customFormat="1" ht="14.25" customHeight="1">
      <c r="A103" s="541" t="s">
        <v>214</v>
      </c>
      <c r="B103" s="544" t="s">
        <v>138</v>
      </c>
      <c r="C103" s="545"/>
      <c r="D103" s="516" t="s">
        <v>180</v>
      </c>
      <c r="E103" s="519" t="s">
        <v>139</v>
      </c>
      <c r="F103" s="520"/>
      <c r="G103" s="520"/>
      <c r="H103" s="520"/>
      <c r="I103" s="521"/>
      <c r="K103" s="57"/>
      <c r="L103" s="63"/>
      <c r="M103" s="64"/>
      <c r="N103" s="234"/>
      <c r="O103" s="4"/>
    </row>
    <row r="104" spans="1:16" s="22" customFormat="1" ht="15" customHeight="1">
      <c r="A104" s="542"/>
      <c r="B104" s="546"/>
      <c r="C104" s="547"/>
      <c r="D104" s="517"/>
      <c r="E104" s="522" t="s">
        <v>140</v>
      </c>
      <c r="F104" s="523"/>
      <c r="G104" s="523"/>
      <c r="H104" s="523"/>
      <c r="I104" s="524"/>
      <c r="K104" s="57"/>
      <c r="L104" s="63"/>
      <c r="M104" s="64"/>
      <c r="N104" s="234"/>
      <c r="O104" s="4"/>
      <c r="P104" s="77"/>
    </row>
    <row r="105" spans="1:15" s="22" customFormat="1" ht="12.75" customHeight="1">
      <c r="A105" s="543"/>
      <c r="B105" s="548"/>
      <c r="C105" s="549"/>
      <c r="D105" s="518"/>
      <c r="E105" s="3">
        <v>0</v>
      </c>
      <c r="F105" s="95" t="s">
        <v>24</v>
      </c>
      <c r="G105" s="3" t="s">
        <v>25</v>
      </c>
      <c r="H105" s="3" t="s">
        <v>141</v>
      </c>
      <c r="I105" s="3" t="s">
        <v>26</v>
      </c>
      <c r="K105" s="57"/>
      <c r="L105" s="63"/>
      <c r="M105" s="64"/>
      <c r="N105" s="234"/>
      <c r="O105" s="4"/>
    </row>
    <row r="106" spans="1:13" ht="12.75" customHeight="1">
      <c r="A106" s="572" t="s">
        <v>154</v>
      </c>
      <c r="B106" s="560" t="s">
        <v>357</v>
      </c>
      <c r="C106" s="575"/>
      <c r="D106" s="527" t="s">
        <v>387</v>
      </c>
      <c r="E106" s="557" t="s">
        <v>145</v>
      </c>
      <c r="F106" s="24" t="s">
        <v>353</v>
      </c>
      <c r="G106" s="24" t="s">
        <v>146</v>
      </c>
      <c r="H106" s="34" t="s">
        <v>148</v>
      </c>
      <c r="I106" s="24" t="s">
        <v>38</v>
      </c>
      <c r="L106" s="63"/>
      <c r="M106" s="64"/>
    </row>
    <row r="107" spans="1:13" ht="12.75" customHeight="1">
      <c r="A107" s="573"/>
      <c r="B107" s="576"/>
      <c r="C107" s="577"/>
      <c r="D107" s="528"/>
      <c r="E107" s="558"/>
      <c r="F107" s="25" t="s">
        <v>354</v>
      </c>
      <c r="G107" s="25" t="s">
        <v>147</v>
      </c>
      <c r="H107" s="27" t="s">
        <v>147</v>
      </c>
      <c r="I107" s="25" t="s">
        <v>39</v>
      </c>
      <c r="L107" s="63"/>
      <c r="M107" s="64"/>
    </row>
    <row r="108" spans="1:13" ht="6" customHeight="1">
      <c r="A108" s="573"/>
      <c r="B108" s="576"/>
      <c r="C108" s="577"/>
      <c r="D108" s="528"/>
      <c r="E108" s="558"/>
      <c r="F108" s="97"/>
      <c r="G108" s="97"/>
      <c r="H108" s="97"/>
      <c r="L108" s="63"/>
      <c r="M108" s="64"/>
    </row>
    <row r="109" spans="1:13" ht="12.75">
      <c r="A109" s="573"/>
      <c r="B109" s="576"/>
      <c r="C109" s="577"/>
      <c r="D109" s="528"/>
      <c r="E109" s="558"/>
      <c r="F109" s="120" t="s">
        <v>359</v>
      </c>
      <c r="G109" s="120" t="s">
        <v>361</v>
      </c>
      <c r="H109" s="120" t="s">
        <v>365</v>
      </c>
      <c r="I109" s="105" t="s">
        <v>368</v>
      </c>
      <c r="L109" s="63"/>
      <c r="M109" s="64"/>
    </row>
    <row r="110" spans="1:13" ht="12.75">
      <c r="A110" s="573"/>
      <c r="B110" s="576"/>
      <c r="C110" s="577"/>
      <c r="D110" s="528"/>
      <c r="E110" s="558"/>
      <c r="F110" s="120" t="s">
        <v>358</v>
      </c>
      <c r="G110" s="120" t="s">
        <v>362</v>
      </c>
      <c r="H110" s="120" t="s">
        <v>366</v>
      </c>
      <c r="I110" s="105" t="s">
        <v>367</v>
      </c>
      <c r="L110" s="63"/>
      <c r="M110" s="64"/>
    </row>
    <row r="111" spans="1:13" ht="36">
      <c r="A111" s="573"/>
      <c r="B111" s="576"/>
      <c r="C111" s="577"/>
      <c r="D111" s="528"/>
      <c r="E111" s="558"/>
      <c r="F111" s="120" t="s">
        <v>360</v>
      </c>
      <c r="G111" s="120" t="s">
        <v>363</v>
      </c>
      <c r="H111" s="120" t="s">
        <v>364</v>
      </c>
      <c r="I111" s="105" t="s">
        <v>370</v>
      </c>
      <c r="L111" s="63"/>
      <c r="M111" s="64"/>
    </row>
    <row r="112" spans="1:13" ht="35.25" customHeight="1">
      <c r="A112" s="573"/>
      <c r="B112" s="576"/>
      <c r="C112" s="577"/>
      <c r="D112" s="528"/>
      <c r="E112" s="559"/>
      <c r="F112" s="184"/>
      <c r="G112" s="184"/>
      <c r="H112" s="184"/>
      <c r="I112" s="105"/>
      <c r="L112" s="63"/>
      <c r="M112" s="64"/>
    </row>
    <row r="113" spans="1:13" ht="12.75" customHeight="1">
      <c r="A113" s="573"/>
      <c r="B113" s="576"/>
      <c r="C113" s="577"/>
      <c r="D113" s="528"/>
      <c r="E113" s="530">
        <f>IF(AND(F113="",G113="",H113="",I113=""),IF($D$9="","",0),"")</f>
      </c>
      <c r="F113" s="566"/>
      <c r="G113" s="566"/>
      <c r="H113" s="566"/>
      <c r="I113" s="566"/>
      <c r="K113" s="57">
        <f>SUM(E113:I114)</f>
        <v>0</v>
      </c>
      <c r="L113" s="63"/>
      <c r="M113" s="64">
        <v>250</v>
      </c>
    </row>
    <row r="114" spans="1:13" ht="12.75" customHeight="1">
      <c r="A114" s="574"/>
      <c r="B114" s="578"/>
      <c r="C114" s="579"/>
      <c r="D114" s="529"/>
      <c r="E114" s="531"/>
      <c r="F114" s="567"/>
      <c r="G114" s="567"/>
      <c r="H114" s="567"/>
      <c r="I114" s="567"/>
      <c r="L114" s="63"/>
      <c r="M114" s="64"/>
    </row>
    <row r="115" spans="1:13" ht="12.75" customHeight="1">
      <c r="A115" s="572" t="s">
        <v>157</v>
      </c>
      <c r="B115" s="560" t="s">
        <v>425</v>
      </c>
      <c r="C115" s="575"/>
      <c r="D115" s="527" t="s">
        <v>374</v>
      </c>
      <c r="E115" s="557" t="s">
        <v>145</v>
      </c>
      <c r="F115" s="24" t="s">
        <v>353</v>
      </c>
      <c r="G115" s="24" t="s">
        <v>146</v>
      </c>
      <c r="H115" s="34" t="s">
        <v>148</v>
      </c>
      <c r="I115" s="24" t="s">
        <v>38</v>
      </c>
      <c r="L115" s="63"/>
      <c r="M115" s="64"/>
    </row>
    <row r="116" spans="1:13" ht="12.75" customHeight="1">
      <c r="A116" s="573"/>
      <c r="B116" s="576"/>
      <c r="C116" s="577"/>
      <c r="D116" s="528"/>
      <c r="E116" s="558"/>
      <c r="F116" s="25" t="s">
        <v>354</v>
      </c>
      <c r="G116" s="25" t="s">
        <v>147</v>
      </c>
      <c r="H116" s="27" t="s">
        <v>147</v>
      </c>
      <c r="I116" s="25" t="s">
        <v>39</v>
      </c>
      <c r="L116" s="63"/>
      <c r="M116" s="64"/>
    </row>
    <row r="117" spans="1:13" ht="6" customHeight="1">
      <c r="A117" s="573"/>
      <c r="B117" s="576"/>
      <c r="C117" s="577"/>
      <c r="D117" s="528"/>
      <c r="E117" s="558"/>
      <c r="F117" s="97"/>
      <c r="G117" s="97"/>
      <c r="H117" s="97"/>
      <c r="L117" s="63"/>
      <c r="M117" s="64"/>
    </row>
    <row r="118" spans="1:13" ht="12.75">
      <c r="A118" s="573"/>
      <c r="B118" s="576"/>
      <c r="C118" s="577"/>
      <c r="D118" s="528"/>
      <c r="E118" s="558"/>
      <c r="F118" s="123" t="s">
        <v>388</v>
      </c>
      <c r="G118" s="123" t="s">
        <v>389</v>
      </c>
      <c r="H118" s="123" t="s">
        <v>390</v>
      </c>
      <c r="I118" s="123" t="s">
        <v>391</v>
      </c>
      <c r="L118" s="63"/>
      <c r="M118" s="64"/>
    </row>
    <row r="119" spans="1:13" ht="12.75">
      <c r="A119" s="573"/>
      <c r="B119" s="576"/>
      <c r="C119" s="577"/>
      <c r="D119" s="528"/>
      <c r="E119" s="558"/>
      <c r="F119" s="123" t="s">
        <v>392</v>
      </c>
      <c r="G119" s="123" t="s">
        <v>393</v>
      </c>
      <c r="H119" s="123" t="s">
        <v>394</v>
      </c>
      <c r="I119" s="123" t="s">
        <v>395</v>
      </c>
      <c r="L119" s="63"/>
      <c r="M119" s="64"/>
    </row>
    <row r="120" spans="1:13" ht="24">
      <c r="A120" s="573"/>
      <c r="B120" s="576"/>
      <c r="C120" s="577"/>
      <c r="D120" s="528"/>
      <c r="E120" s="558"/>
      <c r="F120" s="124" t="s">
        <v>223</v>
      </c>
      <c r="G120" s="124" t="s">
        <v>224</v>
      </c>
      <c r="H120" s="124" t="s">
        <v>225</v>
      </c>
      <c r="I120" s="123" t="s">
        <v>337</v>
      </c>
      <c r="L120" s="63"/>
      <c r="M120" s="64"/>
    </row>
    <row r="121" spans="1:13" ht="1.5" customHeight="1">
      <c r="A121" s="573"/>
      <c r="B121" s="576"/>
      <c r="C121" s="577"/>
      <c r="D121" s="528"/>
      <c r="E121" s="559"/>
      <c r="F121" s="184"/>
      <c r="G121" s="184"/>
      <c r="H121" s="184"/>
      <c r="I121" s="105"/>
      <c r="L121" s="63"/>
      <c r="M121" s="64"/>
    </row>
    <row r="122" spans="1:13" ht="12.75" customHeight="1">
      <c r="A122" s="573"/>
      <c r="B122" s="576"/>
      <c r="C122" s="577"/>
      <c r="D122" s="528"/>
      <c r="E122" s="530">
        <f>IF(AND(F122="",G122="",H122="",I122=""),IF($D$9="","",0),"")</f>
      </c>
      <c r="F122" s="566"/>
      <c r="G122" s="566"/>
      <c r="H122" s="566"/>
      <c r="I122" s="566"/>
      <c r="K122" s="57">
        <f>SUM(E122:I123)</f>
        <v>0</v>
      </c>
      <c r="L122" s="63"/>
      <c r="M122" s="64">
        <v>250</v>
      </c>
    </row>
    <row r="123" spans="1:13" ht="12.75" customHeight="1">
      <c r="A123" s="574"/>
      <c r="B123" s="578"/>
      <c r="C123" s="579"/>
      <c r="D123" s="529"/>
      <c r="E123" s="531"/>
      <c r="F123" s="567"/>
      <c r="G123" s="567"/>
      <c r="H123" s="567"/>
      <c r="I123" s="567"/>
      <c r="L123" s="63"/>
      <c r="M123" s="64"/>
    </row>
    <row r="124" spans="1:13" ht="12.75" customHeight="1">
      <c r="A124" s="572" t="s">
        <v>159</v>
      </c>
      <c r="B124" s="560" t="s">
        <v>378</v>
      </c>
      <c r="C124" s="575"/>
      <c r="D124" s="527" t="s">
        <v>397</v>
      </c>
      <c r="E124" s="557" t="s">
        <v>145</v>
      </c>
      <c r="F124" s="24" t="s">
        <v>353</v>
      </c>
      <c r="G124" s="24" t="s">
        <v>146</v>
      </c>
      <c r="H124" s="34" t="s">
        <v>148</v>
      </c>
      <c r="I124" s="24" t="s">
        <v>38</v>
      </c>
      <c r="L124" s="63"/>
      <c r="M124" s="64"/>
    </row>
    <row r="125" spans="1:13" ht="12.75" customHeight="1">
      <c r="A125" s="573"/>
      <c r="B125" s="576"/>
      <c r="C125" s="577"/>
      <c r="D125" s="528"/>
      <c r="E125" s="558"/>
      <c r="F125" s="25" t="s">
        <v>354</v>
      </c>
      <c r="G125" s="25" t="s">
        <v>147</v>
      </c>
      <c r="H125" s="27" t="s">
        <v>147</v>
      </c>
      <c r="I125" s="25" t="s">
        <v>39</v>
      </c>
      <c r="L125" s="63"/>
      <c r="M125" s="64"/>
    </row>
    <row r="126" spans="1:13" ht="6" customHeight="1">
      <c r="A126" s="573"/>
      <c r="B126" s="576"/>
      <c r="C126" s="577"/>
      <c r="D126" s="528"/>
      <c r="E126" s="558"/>
      <c r="F126" s="97"/>
      <c r="G126" s="97"/>
      <c r="H126" s="97"/>
      <c r="L126" s="63"/>
      <c r="M126" s="64"/>
    </row>
    <row r="127" spans="1:13" ht="24">
      <c r="A127" s="573"/>
      <c r="B127" s="576"/>
      <c r="C127" s="577"/>
      <c r="D127" s="528"/>
      <c r="E127" s="558"/>
      <c r="F127" s="123" t="s">
        <v>379</v>
      </c>
      <c r="G127" s="123" t="s">
        <v>380</v>
      </c>
      <c r="H127" s="123" t="s">
        <v>381</v>
      </c>
      <c r="I127" s="123" t="s">
        <v>382</v>
      </c>
      <c r="L127" s="63"/>
      <c r="M127" s="64"/>
    </row>
    <row r="128" spans="1:13" ht="24">
      <c r="A128" s="573"/>
      <c r="B128" s="576"/>
      <c r="C128" s="577"/>
      <c r="D128" s="528"/>
      <c r="E128" s="558"/>
      <c r="F128" s="123" t="s">
        <v>383</v>
      </c>
      <c r="G128" s="123" t="s">
        <v>384</v>
      </c>
      <c r="H128" s="123" t="s">
        <v>385</v>
      </c>
      <c r="I128" s="123" t="s">
        <v>386</v>
      </c>
      <c r="L128" s="63"/>
      <c r="M128" s="64"/>
    </row>
    <row r="129" spans="1:13" ht="24">
      <c r="A129" s="573"/>
      <c r="B129" s="576"/>
      <c r="C129" s="577"/>
      <c r="D129" s="528"/>
      <c r="E129" s="558"/>
      <c r="F129" s="124" t="s">
        <v>223</v>
      </c>
      <c r="G129" s="124" t="s">
        <v>224</v>
      </c>
      <c r="H129" s="124" t="s">
        <v>225</v>
      </c>
      <c r="I129" s="123" t="s">
        <v>337</v>
      </c>
      <c r="L129" s="63"/>
      <c r="M129" s="64"/>
    </row>
    <row r="130" spans="1:13" ht="5.25" customHeight="1">
      <c r="A130" s="573"/>
      <c r="B130" s="576"/>
      <c r="C130" s="577"/>
      <c r="D130" s="528"/>
      <c r="E130" s="559"/>
      <c r="F130" s="184"/>
      <c r="G130" s="184"/>
      <c r="H130" s="184"/>
      <c r="I130" s="105"/>
      <c r="L130" s="63"/>
      <c r="M130" s="64"/>
    </row>
    <row r="131" spans="1:13" ht="12.75" customHeight="1">
      <c r="A131" s="573"/>
      <c r="B131" s="576"/>
      <c r="C131" s="577"/>
      <c r="D131" s="528"/>
      <c r="E131" s="530">
        <f>IF(AND(F131="",G131="",H131="",I131=""),IF($D$9="","",0),"")</f>
      </c>
      <c r="F131" s="566"/>
      <c r="G131" s="566"/>
      <c r="H131" s="566"/>
      <c r="I131" s="566"/>
      <c r="K131" s="57">
        <f>SUM(E131:I132)</f>
        <v>0</v>
      </c>
      <c r="L131" s="63"/>
      <c r="M131" s="64">
        <v>250</v>
      </c>
    </row>
    <row r="132" spans="1:13" ht="12.75" customHeight="1">
      <c r="A132" s="574"/>
      <c r="B132" s="578"/>
      <c r="C132" s="579"/>
      <c r="D132" s="529"/>
      <c r="E132" s="531"/>
      <c r="F132" s="567"/>
      <c r="G132" s="567"/>
      <c r="H132" s="567"/>
      <c r="I132" s="567"/>
      <c r="L132" s="63"/>
      <c r="M132" s="64"/>
    </row>
    <row r="133" spans="1:13" ht="14.25" customHeight="1">
      <c r="A133" s="541" t="s">
        <v>214</v>
      </c>
      <c r="B133" s="544" t="s">
        <v>138</v>
      </c>
      <c r="C133" s="545"/>
      <c r="D133" s="516" t="s">
        <v>180</v>
      </c>
      <c r="E133" s="519" t="s">
        <v>139</v>
      </c>
      <c r="F133" s="520"/>
      <c r="G133" s="520"/>
      <c r="H133" s="520"/>
      <c r="I133" s="521"/>
      <c r="L133" s="63"/>
      <c r="M133" s="64"/>
    </row>
    <row r="134" spans="1:13" ht="14.25" customHeight="1">
      <c r="A134" s="542"/>
      <c r="B134" s="546"/>
      <c r="C134" s="547"/>
      <c r="D134" s="517"/>
      <c r="E134" s="522" t="s">
        <v>158</v>
      </c>
      <c r="F134" s="523"/>
      <c r="G134" s="523"/>
      <c r="H134" s="523"/>
      <c r="I134" s="524"/>
      <c r="L134" s="63"/>
      <c r="M134" s="64"/>
    </row>
    <row r="135" spans="1:13" ht="14.25" customHeight="1">
      <c r="A135" s="543"/>
      <c r="B135" s="548"/>
      <c r="C135" s="549"/>
      <c r="D135" s="518"/>
      <c r="E135" s="3">
        <v>0</v>
      </c>
      <c r="F135" s="21" t="s">
        <v>40</v>
      </c>
      <c r="G135" s="21" t="s">
        <v>241</v>
      </c>
      <c r="H135" s="21" t="s">
        <v>244</v>
      </c>
      <c r="I135" s="21" t="s">
        <v>243</v>
      </c>
      <c r="L135" s="63"/>
      <c r="M135" s="64"/>
    </row>
    <row r="136" spans="1:13" ht="38.25">
      <c r="A136" s="697" t="s">
        <v>160</v>
      </c>
      <c r="B136" s="560" t="s">
        <v>275</v>
      </c>
      <c r="C136" s="561"/>
      <c r="D136" s="527" t="s">
        <v>255</v>
      </c>
      <c r="E136" s="557" t="s">
        <v>145</v>
      </c>
      <c r="F136" s="23" t="s">
        <v>355</v>
      </c>
      <c r="G136" s="24" t="s">
        <v>479</v>
      </c>
      <c r="H136" s="24" t="s">
        <v>156</v>
      </c>
      <c r="I136" s="24" t="s">
        <v>165</v>
      </c>
      <c r="L136" s="63"/>
      <c r="M136" s="64"/>
    </row>
    <row r="137" spans="1:13" ht="4.5" customHeight="1">
      <c r="A137" s="698"/>
      <c r="B137" s="700"/>
      <c r="C137" s="701"/>
      <c r="D137" s="528"/>
      <c r="E137" s="558"/>
      <c r="F137" s="1"/>
      <c r="G137" s="25"/>
      <c r="H137" s="25"/>
      <c r="I137" s="25"/>
      <c r="L137" s="63"/>
      <c r="M137" s="64"/>
    </row>
    <row r="138" spans="1:13" ht="24">
      <c r="A138" s="698"/>
      <c r="B138" s="693" t="s">
        <v>276</v>
      </c>
      <c r="C138" s="694"/>
      <c r="D138" s="528"/>
      <c r="E138" s="558"/>
      <c r="F138" s="162" t="s">
        <v>177</v>
      </c>
      <c r="G138" s="125" t="s">
        <v>177</v>
      </c>
      <c r="H138" s="125" t="s">
        <v>177</v>
      </c>
      <c r="I138" s="125" t="s">
        <v>177</v>
      </c>
      <c r="L138" s="63"/>
      <c r="M138" s="64"/>
    </row>
    <row r="139" spans="1:13" ht="24">
      <c r="A139" s="698"/>
      <c r="B139" s="695"/>
      <c r="C139" s="694"/>
      <c r="D139" s="528"/>
      <c r="E139" s="558"/>
      <c r="F139" s="113" t="s">
        <v>242</v>
      </c>
      <c r="G139" s="105" t="s">
        <v>256</v>
      </c>
      <c r="H139" s="105" t="s">
        <v>427</v>
      </c>
      <c r="I139" s="105" t="s">
        <v>426</v>
      </c>
      <c r="L139" s="63"/>
      <c r="M139" s="64"/>
    </row>
    <row r="140" spans="1:13" ht="12" customHeight="1">
      <c r="A140" s="698"/>
      <c r="B140" s="695"/>
      <c r="C140" s="694"/>
      <c r="D140" s="528"/>
      <c r="E140" s="558"/>
      <c r="F140" s="453" t="s">
        <v>226</v>
      </c>
      <c r="G140" s="123" t="s">
        <v>227</v>
      </c>
      <c r="H140" s="127" t="s">
        <v>260</v>
      </c>
      <c r="I140" s="105" t="s">
        <v>350</v>
      </c>
      <c r="L140" s="63"/>
      <c r="M140" s="64"/>
    </row>
    <row r="141" spans="1:13" ht="17.25" customHeight="1">
      <c r="A141" s="698"/>
      <c r="B141" s="695"/>
      <c r="C141" s="694"/>
      <c r="D141" s="528"/>
      <c r="E141" s="559"/>
      <c r="F141" s="126" t="s">
        <v>179</v>
      </c>
      <c r="G141" s="136" t="s">
        <v>240</v>
      </c>
      <c r="H141" s="127" t="s">
        <v>178</v>
      </c>
      <c r="I141" s="105" t="s">
        <v>238</v>
      </c>
      <c r="L141" s="63"/>
      <c r="M141" s="64"/>
    </row>
    <row r="142" spans="1:13" ht="12.75">
      <c r="A142" s="698"/>
      <c r="B142" s="103"/>
      <c r="C142" s="216"/>
      <c r="D142" s="528"/>
      <c r="E142" s="530">
        <f>IF(AND(F142="",G142="",H142="",I142=""),IF($D$9="","",0),"")</f>
      </c>
      <c r="F142" s="595"/>
      <c r="G142" s="595"/>
      <c r="H142" s="595"/>
      <c r="I142" s="595"/>
      <c r="K142" s="57">
        <f>SUM(E142:I143)</f>
        <v>0</v>
      </c>
      <c r="L142" s="63"/>
      <c r="M142" s="64">
        <v>330</v>
      </c>
    </row>
    <row r="143" spans="1:13" ht="12.75">
      <c r="A143" s="699"/>
      <c r="B143" s="171"/>
      <c r="C143" s="217"/>
      <c r="D143" s="529"/>
      <c r="E143" s="531"/>
      <c r="F143" s="596"/>
      <c r="G143" s="596"/>
      <c r="H143" s="596"/>
      <c r="I143" s="596"/>
      <c r="L143" s="63"/>
      <c r="M143" s="64"/>
    </row>
    <row r="144" spans="1:13" ht="14.25" customHeight="1">
      <c r="A144" s="541" t="s">
        <v>214</v>
      </c>
      <c r="B144" s="544" t="s">
        <v>138</v>
      </c>
      <c r="C144" s="545"/>
      <c r="D144" s="516" t="s">
        <v>180</v>
      </c>
      <c r="E144" s="519" t="s">
        <v>139</v>
      </c>
      <c r="F144" s="520"/>
      <c r="G144" s="520"/>
      <c r="H144" s="520"/>
      <c r="I144" s="521"/>
      <c r="L144" s="63"/>
      <c r="M144" s="64"/>
    </row>
    <row r="145" spans="1:13" ht="12.75" customHeight="1">
      <c r="A145" s="542"/>
      <c r="B145" s="546"/>
      <c r="C145" s="547"/>
      <c r="D145" s="517"/>
      <c r="E145" s="522" t="s">
        <v>158</v>
      </c>
      <c r="F145" s="523"/>
      <c r="G145" s="523"/>
      <c r="H145" s="523"/>
      <c r="I145" s="524"/>
      <c r="L145" s="63"/>
      <c r="M145" s="64"/>
    </row>
    <row r="146" spans="1:13" ht="12.75" customHeight="1">
      <c r="A146" s="543"/>
      <c r="B146" s="548"/>
      <c r="C146" s="549"/>
      <c r="D146" s="518"/>
      <c r="E146" s="3">
        <v>0</v>
      </c>
      <c r="F146" s="21">
        <v>10</v>
      </c>
      <c r="G146" s="21">
        <v>20</v>
      </c>
      <c r="H146" s="21">
        <v>20</v>
      </c>
      <c r="I146" s="21" t="s">
        <v>351</v>
      </c>
      <c r="L146" s="63"/>
      <c r="M146" s="64"/>
    </row>
    <row r="147" spans="1:13" ht="81" customHeight="1">
      <c r="A147" s="557" t="s">
        <v>369</v>
      </c>
      <c r="B147" s="560" t="s">
        <v>348</v>
      </c>
      <c r="C147" s="575"/>
      <c r="D147" s="527" t="s">
        <v>257</v>
      </c>
      <c r="E147" s="2" t="s">
        <v>264</v>
      </c>
      <c r="F147" s="87" t="s">
        <v>356</v>
      </c>
      <c r="G147" s="87" t="s">
        <v>263</v>
      </c>
      <c r="H147" s="87" t="s">
        <v>41</v>
      </c>
      <c r="I147" s="2" t="s">
        <v>349</v>
      </c>
      <c r="L147" s="63"/>
      <c r="M147" s="64"/>
    </row>
    <row r="148" spans="1:13" ht="12.75">
      <c r="A148" s="558"/>
      <c r="B148" s="576"/>
      <c r="C148" s="577"/>
      <c r="D148" s="528"/>
      <c r="E148" s="530">
        <f>IF(AND(F148="",G148="",H148="",I148=""),IF($D$9="","",0),"")</f>
      </c>
      <c r="F148" s="538"/>
      <c r="G148" s="538"/>
      <c r="H148" s="538"/>
      <c r="I148" s="538"/>
      <c r="L148" s="63"/>
      <c r="M148" s="64"/>
    </row>
    <row r="149" spans="1:13" ht="12.75">
      <c r="A149" s="559"/>
      <c r="B149" s="578"/>
      <c r="C149" s="579"/>
      <c r="D149" s="529"/>
      <c r="E149" s="531"/>
      <c r="F149" s="540"/>
      <c r="G149" s="540"/>
      <c r="H149" s="540"/>
      <c r="I149" s="540"/>
      <c r="K149" s="57">
        <f>SUM(E148:I149)</f>
        <v>0</v>
      </c>
      <c r="L149" s="63"/>
      <c r="M149" s="64">
        <f>SUM(E146:I146)</f>
        <v>50</v>
      </c>
    </row>
    <row r="150" spans="1:13" ht="5.25" customHeight="1">
      <c r="A150" s="34"/>
      <c r="B150" s="342"/>
      <c r="C150" s="218"/>
      <c r="D150" s="185"/>
      <c r="E150" s="186"/>
      <c r="F150" s="343"/>
      <c r="G150" s="335"/>
      <c r="H150" s="343"/>
      <c r="I150" s="343"/>
      <c r="L150" s="63"/>
      <c r="M150" s="64"/>
    </row>
    <row r="151" spans="1:14" s="336" customFormat="1" ht="12.75">
      <c r="A151" s="339"/>
      <c r="B151" s="696" t="s">
        <v>172</v>
      </c>
      <c r="C151" s="696"/>
      <c r="D151" s="340"/>
      <c r="E151" s="340"/>
      <c r="F151" s="340"/>
      <c r="G151" s="340"/>
      <c r="H151" s="340"/>
      <c r="I151" s="340"/>
      <c r="K151" s="337"/>
      <c r="L151" s="63"/>
      <c r="M151" s="64"/>
      <c r="N151" s="338"/>
    </row>
    <row r="152" spans="1:14" s="336" customFormat="1" ht="1.5" customHeight="1">
      <c r="A152" s="339"/>
      <c r="B152" s="606"/>
      <c r="C152" s="606"/>
      <c r="D152" s="340"/>
      <c r="E152" s="340"/>
      <c r="F152" s="340"/>
      <c r="G152" s="340"/>
      <c r="H152" s="340"/>
      <c r="I152" s="340"/>
      <c r="K152" s="337"/>
      <c r="L152" s="63"/>
      <c r="M152" s="64"/>
      <c r="N152" s="338"/>
    </row>
    <row r="153" spans="1:13" ht="14.25" customHeight="1">
      <c r="A153" s="541" t="s">
        <v>214</v>
      </c>
      <c r="B153" s="544" t="s">
        <v>138</v>
      </c>
      <c r="C153" s="545"/>
      <c r="D153" s="516" t="s">
        <v>180</v>
      </c>
      <c r="E153" s="612" t="s">
        <v>139</v>
      </c>
      <c r="F153" s="629"/>
      <c r="G153" s="629"/>
      <c r="H153" s="629"/>
      <c r="I153" s="630"/>
      <c r="L153" s="63"/>
      <c r="M153" s="64"/>
    </row>
    <row r="154" spans="1:16" ht="12.75" customHeight="1">
      <c r="A154" s="542"/>
      <c r="B154" s="546"/>
      <c r="C154" s="547"/>
      <c r="D154" s="517"/>
      <c r="E154" s="522" t="s">
        <v>161</v>
      </c>
      <c r="F154" s="523"/>
      <c r="G154" s="523"/>
      <c r="H154" s="523"/>
      <c r="I154" s="524"/>
      <c r="L154" s="63"/>
      <c r="M154" s="64"/>
      <c r="P154" s="104"/>
    </row>
    <row r="155" spans="1:16" ht="12.75" customHeight="1">
      <c r="A155" s="543"/>
      <c r="B155" s="548"/>
      <c r="C155" s="549"/>
      <c r="D155" s="518"/>
      <c r="E155" s="3">
        <v>0</v>
      </c>
      <c r="F155" s="525" t="s">
        <v>472</v>
      </c>
      <c r="G155" s="526"/>
      <c r="H155" s="525" t="s">
        <v>473</v>
      </c>
      <c r="I155" s="526"/>
      <c r="L155" s="63"/>
      <c r="M155" s="64"/>
      <c r="P155" s="85"/>
    </row>
    <row r="156" spans="1:13" ht="69" customHeight="1">
      <c r="A156" s="557" t="s">
        <v>396</v>
      </c>
      <c r="B156" s="560" t="s">
        <v>277</v>
      </c>
      <c r="C156" s="575"/>
      <c r="D156" s="527" t="s">
        <v>258</v>
      </c>
      <c r="E156" s="341" t="s">
        <v>145</v>
      </c>
      <c r="F156" s="634" t="s">
        <v>474</v>
      </c>
      <c r="G156" s="635"/>
      <c r="H156" s="634" t="s">
        <v>481</v>
      </c>
      <c r="I156" s="635"/>
      <c r="L156" s="63"/>
      <c r="M156" s="64"/>
    </row>
    <row r="157" spans="1:13" ht="10.5" customHeight="1">
      <c r="A157" s="558"/>
      <c r="B157" s="576"/>
      <c r="C157" s="577"/>
      <c r="D157" s="528"/>
      <c r="E157" s="530">
        <f>IF(AND(F157="",H157=""),IF($D$9="","",0),"")</f>
      </c>
      <c r="F157" s="532"/>
      <c r="G157" s="631"/>
      <c r="H157" s="532"/>
      <c r="I157" s="631"/>
      <c r="L157" s="63"/>
      <c r="M157" s="64"/>
    </row>
    <row r="158" spans="1:13" ht="10.5" customHeight="1">
      <c r="A158" s="559"/>
      <c r="B158" s="578"/>
      <c r="C158" s="579"/>
      <c r="D158" s="529"/>
      <c r="E158" s="531"/>
      <c r="F158" s="632"/>
      <c r="G158" s="633"/>
      <c r="H158" s="632"/>
      <c r="I158" s="633"/>
      <c r="K158" s="57">
        <f>MAX(E157:I158)</f>
        <v>0</v>
      </c>
      <c r="L158" s="63"/>
      <c r="M158" s="64">
        <v>500</v>
      </c>
    </row>
    <row r="159" spans="1:13" ht="12" customHeight="1">
      <c r="A159" s="618" t="s">
        <v>162</v>
      </c>
      <c r="B159" s="623" t="s">
        <v>163</v>
      </c>
      <c r="C159" s="624"/>
      <c r="D159" s="624"/>
      <c r="E159" s="624"/>
      <c r="F159" s="624"/>
      <c r="G159" s="624"/>
      <c r="H159" s="624"/>
      <c r="I159" s="625"/>
      <c r="L159" s="63"/>
      <c r="M159" s="64"/>
    </row>
    <row r="160" spans="1:15" ht="12.75">
      <c r="A160" s="619"/>
      <c r="B160" s="626"/>
      <c r="C160" s="627"/>
      <c r="D160" s="627"/>
      <c r="E160" s="627"/>
      <c r="F160" s="627"/>
      <c r="G160" s="627"/>
      <c r="H160" s="627"/>
      <c r="I160" s="628"/>
      <c r="L160" s="63"/>
      <c r="M160" s="64"/>
      <c r="N160" s="236"/>
      <c r="O160" s="104"/>
    </row>
    <row r="161" spans="1:15" ht="14.25" customHeight="1">
      <c r="A161" s="541" t="s">
        <v>214</v>
      </c>
      <c r="B161" s="544" t="s">
        <v>138</v>
      </c>
      <c r="C161" s="545"/>
      <c r="D161" s="516" t="s">
        <v>180</v>
      </c>
      <c r="E161" s="612" t="s">
        <v>139</v>
      </c>
      <c r="F161" s="629"/>
      <c r="G161" s="629"/>
      <c r="H161" s="629"/>
      <c r="I161" s="630"/>
      <c r="L161" s="63"/>
      <c r="M161" s="64"/>
      <c r="N161" s="85"/>
      <c r="O161" s="85"/>
    </row>
    <row r="162" spans="1:13" ht="14.25" customHeight="1">
      <c r="A162" s="542"/>
      <c r="B162" s="546"/>
      <c r="C162" s="547"/>
      <c r="D162" s="517"/>
      <c r="E162" s="459" t="s">
        <v>158</v>
      </c>
      <c r="F162" s="460"/>
      <c r="G162" s="460"/>
      <c r="H162" s="460"/>
      <c r="I162" s="461"/>
      <c r="L162" s="63"/>
      <c r="M162" s="64"/>
    </row>
    <row r="163" spans="1:13" ht="14.25" customHeight="1">
      <c r="A163" s="543"/>
      <c r="B163" s="548"/>
      <c r="C163" s="549"/>
      <c r="D163" s="518"/>
      <c r="E163" s="29">
        <v>0</v>
      </c>
      <c r="F163" s="29">
        <v>50</v>
      </c>
      <c r="G163" s="29">
        <v>100</v>
      </c>
      <c r="H163" s="29">
        <v>200</v>
      </c>
      <c r="I163" s="29">
        <v>300</v>
      </c>
      <c r="L163" s="63"/>
      <c r="M163" s="64"/>
    </row>
    <row r="164" spans="1:13" ht="52.5" customHeight="1">
      <c r="A164" s="557" t="s">
        <v>181</v>
      </c>
      <c r="B164" s="560" t="s">
        <v>475</v>
      </c>
      <c r="C164" s="575"/>
      <c r="D164" s="527" t="s">
        <v>478</v>
      </c>
      <c r="E164" s="2" t="s">
        <v>164</v>
      </c>
      <c r="F164" s="2" t="s">
        <v>355</v>
      </c>
      <c r="G164" s="2" t="s">
        <v>155</v>
      </c>
      <c r="H164" s="2" t="s">
        <v>156</v>
      </c>
      <c r="I164" s="2" t="s">
        <v>165</v>
      </c>
      <c r="L164" s="63"/>
      <c r="M164" s="64"/>
    </row>
    <row r="165" spans="1:13" ht="10.5" customHeight="1">
      <c r="A165" s="558"/>
      <c r="B165" s="576"/>
      <c r="C165" s="577"/>
      <c r="D165" s="528"/>
      <c r="E165" s="530">
        <f>IF(AND(F165="",G165="",H165="",I165=""),IF($D$9="","",0),"")</f>
      </c>
      <c r="F165" s="538"/>
      <c r="G165" s="538"/>
      <c r="H165" s="538"/>
      <c r="I165" s="538"/>
      <c r="K165" s="57">
        <f>SUM(E165:I166)</f>
        <v>0</v>
      </c>
      <c r="L165" s="63">
        <v>650</v>
      </c>
      <c r="M165" s="64"/>
    </row>
    <row r="166" spans="1:13" ht="10.5" customHeight="1">
      <c r="A166" s="559"/>
      <c r="B166" s="578"/>
      <c r="C166" s="579"/>
      <c r="D166" s="529"/>
      <c r="E166" s="531"/>
      <c r="F166" s="539"/>
      <c r="G166" s="540"/>
      <c r="H166" s="539"/>
      <c r="I166" s="539"/>
      <c r="L166" s="71"/>
      <c r="M166" s="72"/>
    </row>
    <row r="167" spans="1:13" ht="12" customHeight="1">
      <c r="A167" s="618" t="s">
        <v>182</v>
      </c>
      <c r="B167" s="623" t="s">
        <v>166</v>
      </c>
      <c r="C167" s="624"/>
      <c r="D167" s="624"/>
      <c r="E167" s="624"/>
      <c r="F167" s="624"/>
      <c r="G167" s="624"/>
      <c r="H167" s="624"/>
      <c r="I167" s="625"/>
      <c r="L167" s="75"/>
      <c r="M167" s="75"/>
    </row>
    <row r="168" spans="1:13" ht="12.75">
      <c r="A168" s="619"/>
      <c r="B168" s="626"/>
      <c r="C168" s="627"/>
      <c r="D168" s="627"/>
      <c r="E168" s="627"/>
      <c r="F168" s="627"/>
      <c r="G168" s="627"/>
      <c r="H168" s="627"/>
      <c r="I168" s="628"/>
      <c r="L168" s="74"/>
      <c r="M168" s="74"/>
    </row>
    <row r="169" spans="1:13" ht="14.25" customHeight="1">
      <c r="A169" s="541" t="s">
        <v>214</v>
      </c>
      <c r="B169" s="544" t="s">
        <v>138</v>
      </c>
      <c r="C169" s="545"/>
      <c r="D169" s="550" t="s">
        <v>183</v>
      </c>
      <c r="E169" s="551"/>
      <c r="F169" s="612" t="s">
        <v>139</v>
      </c>
      <c r="G169" s="613"/>
      <c r="H169" s="613"/>
      <c r="I169" s="614"/>
      <c r="J169" s="32"/>
      <c r="L169" s="74"/>
      <c r="M169" s="74"/>
    </row>
    <row r="170" spans="1:13" ht="14.25" customHeight="1">
      <c r="A170" s="542"/>
      <c r="B170" s="546"/>
      <c r="C170" s="547"/>
      <c r="D170" s="552"/>
      <c r="E170" s="553"/>
      <c r="F170" s="459" t="s">
        <v>161</v>
      </c>
      <c r="G170" s="615"/>
      <c r="H170" s="615"/>
      <c r="I170" s="616"/>
      <c r="L170" s="74"/>
      <c r="M170" s="74"/>
    </row>
    <row r="171" spans="1:13" ht="14.25" customHeight="1">
      <c r="A171" s="543"/>
      <c r="B171" s="548"/>
      <c r="C171" s="549"/>
      <c r="D171" s="554"/>
      <c r="E171" s="555"/>
      <c r="F171" s="19">
        <v>0</v>
      </c>
      <c r="G171" s="19">
        <v>100</v>
      </c>
      <c r="H171" s="19">
        <v>200</v>
      </c>
      <c r="I171" s="19">
        <v>300</v>
      </c>
      <c r="L171" s="74"/>
      <c r="M171" s="74"/>
    </row>
    <row r="172" spans="1:13" ht="25.5" customHeight="1">
      <c r="A172" s="620" t="s">
        <v>167</v>
      </c>
      <c r="B172" s="560" t="s">
        <v>278</v>
      </c>
      <c r="C172" s="575"/>
      <c r="D172" s="608" t="s">
        <v>259</v>
      </c>
      <c r="E172" s="609"/>
      <c r="F172" s="2" t="s">
        <v>185</v>
      </c>
      <c r="G172" s="163" t="s">
        <v>184</v>
      </c>
      <c r="H172" s="163" t="s">
        <v>168</v>
      </c>
      <c r="I172" s="163" t="s">
        <v>168</v>
      </c>
      <c r="L172" s="74"/>
      <c r="M172" s="74"/>
    </row>
    <row r="173" spans="1:16" ht="103.5" customHeight="1">
      <c r="A173" s="621"/>
      <c r="B173" s="576"/>
      <c r="C173" s="577"/>
      <c r="D173" s="610"/>
      <c r="E173" s="611"/>
      <c r="F173" s="181"/>
      <c r="G173" s="182"/>
      <c r="H173" s="181"/>
      <c r="I173" s="24" t="s">
        <v>281</v>
      </c>
      <c r="L173" s="74"/>
      <c r="M173" s="74"/>
      <c r="O173" s="128"/>
      <c r="P173" s="129"/>
    </row>
    <row r="174" spans="1:16" ht="99.75" customHeight="1">
      <c r="A174" s="621"/>
      <c r="B174" s="576"/>
      <c r="C174" s="577"/>
      <c r="D174" s="610"/>
      <c r="E174" s="611"/>
      <c r="F174" s="183"/>
      <c r="G174" s="184"/>
      <c r="H174" s="183"/>
      <c r="I174" s="452" t="s">
        <v>280</v>
      </c>
      <c r="L174" s="74"/>
      <c r="M174" s="74"/>
      <c r="O174" s="128"/>
      <c r="P174" s="129"/>
    </row>
    <row r="175" spans="1:13" ht="10.5" customHeight="1">
      <c r="A175" s="621"/>
      <c r="B175" s="576"/>
      <c r="C175" s="577"/>
      <c r="D175" s="610"/>
      <c r="E175" s="611"/>
      <c r="F175" s="530">
        <f>IF(AND(G175="",H175="",I175=""),IF($D$9="","",0),"")</f>
      </c>
      <c r="G175" s="607"/>
      <c r="H175" s="607"/>
      <c r="I175" s="607"/>
      <c r="K175" s="57">
        <f>MAX(F175:I176)</f>
        <v>0</v>
      </c>
      <c r="L175" s="61">
        <v>300</v>
      </c>
      <c r="M175" s="62"/>
    </row>
    <row r="176" spans="1:13" ht="10.5" customHeight="1">
      <c r="A176" s="622"/>
      <c r="B176" s="578"/>
      <c r="C176" s="579"/>
      <c r="D176" s="522"/>
      <c r="E176" s="524"/>
      <c r="F176" s="531"/>
      <c r="G176" s="540"/>
      <c r="H176" s="540"/>
      <c r="I176" s="540"/>
      <c r="L176" s="63"/>
      <c r="M176" s="64"/>
    </row>
    <row r="177" spans="1:13" ht="149.25" customHeight="1">
      <c r="A177" s="557" t="s">
        <v>169</v>
      </c>
      <c r="B177" s="617" t="s">
        <v>279</v>
      </c>
      <c r="C177" s="575"/>
      <c r="D177" s="608" t="s">
        <v>186</v>
      </c>
      <c r="E177" s="609"/>
      <c r="F177" s="163" t="s">
        <v>253</v>
      </c>
      <c r="G177" s="2" t="s">
        <v>476</v>
      </c>
      <c r="H177" s="2" t="s">
        <v>477</v>
      </c>
      <c r="I177" s="163" t="s">
        <v>246</v>
      </c>
      <c r="L177" s="63"/>
      <c r="M177" s="64"/>
    </row>
    <row r="178" spans="1:13" ht="10.5" customHeight="1">
      <c r="A178" s="558"/>
      <c r="B178" s="576"/>
      <c r="C178" s="577"/>
      <c r="D178" s="610"/>
      <c r="E178" s="611"/>
      <c r="F178" s="530">
        <f>IF(AND(G178="",H178="",I178=""),IF($D$9="","",0),"")</f>
      </c>
      <c r="G178" s="538"/>
      <c r="H178" s="538"/>
      <c r="I178" s="538"/>
      <c r="K178" s="57">
        <f>MAX(F178:I179)</f>
        <v>0</v>
      </c>
      <c r="L178" s="63"/>
      <c r="M178" s="64">
        <v>300</v>
      </c>
    </row>
    <row r="179" spans="1:13" ht="10.5" customHeight="1">
      <c r="A179" s="559"/>
      <c r="B179" s="578"/>
      <c r="C179" s="579"/>
      <c r="D179" s="522"/>
      <c r="E179" s="524"/>
      <c r="F179" s="531"/>
      <c r="G179" s="540"/>
      <c r="H179" s="540"/>
      <c r="I179" s="540"/>
      <c r="L179" s="63"/>
      <c r="M179" s="64"/>
    </row>
    <row r="180" spans="1:9" ht="6" customHeight="1">
      <c r="A180" s="134"/>
      <c r="B180" s="342"/>
      <c r="C180" s="342"/>
      <c r="D180" s="210"/>
      <c r="E180" s="88"/>
      <c r="F180" s="88"/>
      <c r="G180" s="88"/>
      <c r="H180" s="88"/>
      <c r="I180" s="88"/>
    </row>
    <row r="181" spans="1:14" s="336" customFormat="1" ht="12">
      <c r="A181" s="339"/>
      <c r="B181" s="606" t="s">
        <v>172</v>
      </c>
      <c r="C181" s="606"/>
      <c r="D181" s="340"/>
      <c r="E181" s="340"/>
      <c r="F181" s="340"/>
      <c r="G181" s="340"/>
      <c r="H181" s="340"/>
      <c r="I181" s="340"/>
      <c r="K181" s="337"/>
      <c r="L181" s="337"/>
      <c r="M181" s="337"/>
      <c r="N181" s="338"/>
    </row>
    <row r="182" spans="1:13" ht="14.25" customHeight="1">
      <c r="A182" s="541" t="s">
        <v>214</v>
      </c>
      <c r="B182" s="544" t="s">
        <v>138</v>
      </c>
      <c r="C182" s="545"/>
      <c r="D182" s="550" t="s">
        <v>183</v>
      </c>
      <c r="E182" s="551"/>
      <c r="F182" s="612" t="s">
        <v>139</v>
      </c>
      <c r="G182" s="613"/>
      <c r="H182" s="613"/>
      <c r="I182" s="614"/>
      <c r="J182" s="32"/>
      <c r="L182" s="74"/>
      <c r="M182" s="74"/>
    </row>
    <row r="183" spans="1:13" ht="14.25" customHeight="1">
      <c r="A183" s="542"/>
      <c r="B183" s="546"/>
      <c r="C183" s="547"/>
      <c r="D183" s="552"/>
      <c r="E183" s="553"/>
      <c r="F183" s="459" t="s">
        <v>161</v>
      </c>
      <c r="G183" s="615"/>
      <c r="H183" s="615"/>
      <c r="I183" s="616"/>
      <c r="L183" s="74"/>
      <c r="M183" s="74"/>
    </row>
    <row r="184" spans="1:13" ht="14.25" customHeight="1">
      <c r="A184" s="543"/>
      <c r="B184" s="548"/>
      <c r="C184" s="549"/>
      <c r="D184" s="554"/>
      <c r="E184" s="555"/>
      <c r="F184" s="19">
        <v>0</v>
      </c>
      <c r="G184" s="19">
        <v>100</v>
      </c>
      <c r="H184" s="19">
        <v>200</v>
      </c>
      <c r="I184" s="19">
        <v>300</v>
      </c>
      <c r="L184" s="74"/>
      <c r="M184" s="74"/>
    </row>
    <row r="185" spans="1:13" ht="67.5" customHeight="1">
      <c r="A185" s="557" t="s">
        <v>170</v>
      </c>
      <c r="B185" s="560" t="s">
        <v>352</v>
      </c>
      <c r="C185" s="561"/>
      <c r="D185" s="608" t="s">
        <v>171</v>
      </c>
      <c r="E185" s="609"/>
      <c r="F185" s="2" t="s">
        <v>254</v>
      </c>
      <c r="G185" s="2" t="s">
        <v>187</v>
      </c>
      <c r="H185" s="2" t="s">
        <v>433</v>
      </c>
      <c r="I185" s="2" t="s">
        <v>434</v>
      </c>
      <c r="L185" s="63"/>
      <c r="M185" s="64"/>
    </row>
    <row r="186" spans="1:13" ht="12.75">
      <c r="A186" s="558"/>
      <c r="B186" s="562"/>
      <c r="C186" s="563"/>
      <c r="D186" s="610"/>
      <c r="E186" s="611"/>
      <c r="F186" s="530">
        <f>IF(AND(G186="",H186="",I186=""),IF($D$9="","",0),"")</f>
      </c>
      <c r="G186" s="538"/>
      <c r="H186" s="538"/>
      <c r="I186" s="538"/>
      <c r="K186" s="57">
        <f>MAX(F186:I187)</f>
        <v>0</v>
      </c>
      <c r="L186" s="63"/>
      <c r="M186" s="64">
        <v>300</v>
      </c>
    </row>
    <row r="187" spans="1:13" ht="12" customHeight="1">
      <c r="A187" s="559"/>
      <c r="B187" s="564"/>
      <c r="C187" s="565"/>
      <c r="D187" s="522"/>
      <c r="E187" s="524"/>
      <c r="F187" s="531"/>
      <c r="G187" s="539"/>
      <c r="H187" s="539"/>
      <c r="I187" s="539"/>
      <c r="L187" s="71"/>
      <c r="M187" s="72"/>
    </row>
    <row r="188" spans="1:9" ht="24" customHeight="1">
      <c r="A188" s="199"/>
      <c r="B188" s="194"/>
      <c r="C188" s="194"/>
      <c r="D188" s="192"/>
      <c r="E188" s="192"/>
      <c r="F188" s="192"/>
      <c r="G188" s="192"/>
      <c r="H188" s="192"/>
      <c r="I188" s="192"/>
    </row>
    <row r="189" spans="1:9" ht="15">
      <c r="A189" s="200" t="s">
        <v>194</v>
      </c>
      <c r="B189" s="568" t="s">
        <v>193</v>
      </c>
      <c r="C189" s="568"/>
      <c r="D189" s="568"/>
      <c r="E189" s="568"/>
      <c r="F189" s="568"/>
      <c r="G189" s="568"/>
      <c r="H189" s="568"/>
      <c r="I189" s="568"/>
    </row>
    <row r="190" spans="1:9" ht="15" customHeight="1">
      <c r="A190" s="168" t="s">
        <v>189</v>
      </c>
      <c r="B190" s="556" t="s">
        <v>188</v>
      </c>
      <c r="C190" s="556"/>
      <c r="D190" s="556"/>
      <c r="E190" s="556"/>
      <c r="F190" s="556"/>
      <c r="G190" s="556"/>
      <c r="H190" s="556"/>
      <c r="I190" s="556"/>
    </row>
    <row r="191" spans="1:14" ht="15">
      <c r="A191" s="134"/>
      <c r="B191" s="556"/>
      <c r="C191" s="556"/>
      <c r="D191" s="556"/>
      <c r="E191" s="556"/>
      <c r="F191" s="556"/>
      <c r="G191" s="556"/>
      <c r="H191" s="556"/>
      <c r="I191" s="556"/>
      <c r="L191" s="82" t="s">
        <v>217</v>
      </c>
      <c r="M191" s="78"/>
      <c r="N191" s="234" t="s">
        <v>42</v>
      </c>
    </row>
    <row r="192" spans="1:13" ht="15" customHeight="1">
      <c r="A192" s="168" t="s">
        <v>189</v>
      </c>
      <c r="B192" s="556" t="s">
        <v>265</v>
      </c>
      <c r="C192" s="556"/>
      <c r="D192" s="556"/>
      <c r="E192" s="556"/>
      <c r="F192" s="556"/>
      <c r="G192" s="556"/>
      <c r="H192" s="556"/>
      <c r="I192" s="556"/>
      <c r="L192" s="83"/>
      <c r="M192" s="83" t="s">
        <v>218</v>
      </c>
    </row>
    <row r="193" spans="1:14" ht="15">
      <c r="A193" s="134"/>
      <c r="B193" s="556"/>
      <c r="C193" s="556"/>
      <c r="D193" s="556"/>
      <c r="E193" s="556"/>
      <c r="F193" s="556"/>
      <c r="G193" s="556"/>
      <c r="H193" s="556"/>
      <c r="I193" s="556"/>
      <c r="L193" s="84">
        <f>SUM(L203:L240)</f>
        <v>1750</v>
      </c>
      <c r="M193" s="84">
        <f>SUM(M203:M240)</f>
        <v>0</v>
      </c>
      <c r="N193" s="237">
        <f>SUM(L193:M193)</f>
        <v>1750</v>
      </c>
    </row>
    <row r="194" spans="1:14" ht="15">
      <c r="A194" s="134"/>
      <c r="B194" s="556" t="s">
        <v>266</v>
      </c>
      <c r="C194" s="556"/>
      <c r="D194" s="556"/>
      <c r="E194" s="556"/>
      <c r="F194" s="556"/>
      <c r="G194" s="556"/>
      <c r="H194" s="556"/>
      <c r="I194" s="556"/>
      <c r="L194" s="79"/>
      <c r="M194" s="80"/>
      <c r="N194" s="4"/>
    </row>
    <row r="195" spans="1:13" ht="15">
      <c r="A195" s="134"/>
      <c r="B195" s="556"/>
      <c r="C195" s="556"/>
      <c r="D195" s="556"/>
      <c r="E195" s="556"/>
      <c r="F195" s="556"/>
      <c r="G195" s="556"/>
      <c r="H195" s="556"/>
      <c r="I195" s="556"/>
      <c r="L195" s="79"/>
      <c r="M195" s="80"/>
    </row>
    <row r="196" spans="1:14" ht="15">
      <c r="A196" s="134"/>
      <c r="B196" s="210"/>
      <c r="C196" s="210"/>
      <c r="D196" s="210"/>
      <c r="E196" s="88"/>
      <c r="F196" s="88"/>
      <c r="G196" s="88"/>
      <c r="H196" s="88"/>
      <c r="I196" s="88"/>
      <c r="L196" s="79"/>
      <c r="M196" s="80"/>
      <c r="N196" s="4"/>
    </row>
    <row r="197" spans="1:13" ht="1.5" customHeight="1">
      <c r="A197" s="134"/>
      <c r="B197" s="219"/>
      <c r="C197" s="219"/>
      <c r="D197" s="220"/>
      <c r="E197" s="133"/>
      <c r="F197" s="133"/>
      <c r="G197" s="133"/>
      <c r="H197" s="133"/>
      <c r="I197" s="133"/>
      <c r="L197" s="79"/>
      <c r="M197" s="80"/>
    </row>
    <row r="198" spans="1:13" ht="14.25" customHeight="1">
      <c r="A198" s="541" t="s">
        <v>214</v>
      </c>
      <c r="B198" s="544" t="s">
        <v>138</v>
      </c>
      <c r="C198" s="545"/>
      <c r="D198" s="516" t="s">
        <v>261</v>
      </c>
      <c r="E198" s="519" t="s">
        <v>139</v>
      </c>
      <c r="F198" s="520"/>
      <c r="G198" s="520"/>
      <c r="H198" s="520"/>
      <c r="I198" s="521"/>
      <c r="L198" s="79"/>
      <c r="M198" s="80"/>
    </row>
    <row r="199" spans="1:13" ht="14.25" customHeight="1">
      <c r="A199" s="542"/>
      <c r="B199" s="546"/>
      <c r="C199" s="547"/>
      <c r="D199" s="517"/>
      <c r="E199" s="522" t="s">
        <v>161</v>
      </c>
      <c r="F199" s="523"/>
      <c r="G199" s="523"/>
      <c r="H199" s="523"/>
      <c r="I199" s="524"/>
      <c r="L199" s="79"/>
      <c r="M199" s="80"/>
    </row>
    <row r="200" spans="1:14" ht="14.25" customHeight="1">
      <c r="A200" s="543"/>
      <c r="B200" s="548"/>
      <c r="C200" s="549"/>
      <c r="D200" s="518"/>
      <c r="E200" s="3">
        <v>0</v>
      </c>
      <c r="F200" s="525">
        <v>100</v>
      </c>
      <c r="G200" s="526"/>
      <c r="H200" s="525">
        <v>200</v>
      </c>
      <c r="I200" s="526"/>
      <c r="L200" s="79"/>
      <c r="M200" s="80"/>
      <c r="N200" s="4"/>
    </row>
    <row r="201" spans="1:14" ht="12.75" customHeight="1">
      <c r="A201" s="618" t="s">
        <v>195</v>
      </c>
      <c r="B201" s="623" t="s">
        <v>415</v>
      </c>
      <c r="C201" s="624"/>
      <c r="D201" s="624"/>
      <c r="E201" s="624"/>
      <c r="F201" s="624"/>
      <c r="G201" s="624"/>
      <c r="H201" s="624"/>
      <c r="I201" s="625"/>
      <c r="L201" s="79"/>
      <c r="M201" s="80"/>
      <c r="N201" s="4"/>
    </row>
    <row r="202" spans="1:15" ht="12.75" customHeight="1">
      <c r="A202" s="619"/>
      <c r="B202" s="626"/>
      <c r="C202" s="627"/>
      <c r="D202" s="627"/>
      <c r="E202" s="627"/>
      <c r="F202" s="627"/>
      <c r="G202" s="627"/>
      <c r="H202" s="627"/>
      <c r="I202" s="628"/>
      <c r="L202" s="79"/>
      <c r="M202" s="80"/>
      <c r="N202" s="4"/>
      <c r="O202" s="85"/>
    </row>
    <row r="203" spans="1:13" ht="53.25" customHeight="1">
      <c r="A203" s="557" t="s">
        <v>435</v>
      </c>
      <c r="B203" s="560" t="s">
        <v>398</v>
      </c>
      <c r="C203" s="575"/>
      <c r="D203" s="527" t="s">
        <v>428</v>
      </c>
      <c r="E203" s="2" t="s">
        <v>401</v>
      </c>
      <c r="F203" s="536" t="s">
        <v>399</v>
      </c>
      <c r="G203" s="537"/>
      <c r="H203" s="536" t="s">
        <v>400</v>
      </c>
      <c r="I203" s="537"/>
      <c r="L203" s="79"/>
      <c r="M203" s="80"/>
    </row>
    <row r="204" spans="1:13" ht="12.75">
      <c r="A204" s="558"/>
      <c r="B204" s="576"/>
      <c r="C204" s="577"/>
      <c r="D204" s="528"/>
      <c r="E204" s="530">
        <f>IF(AND(F204="",H204=""),IF($D$9="","",0),"")</f>
      </c>
      <c r="F204" s="532"/>
      <c r="G204" s="533"/>
      <c r="H204" s="532"/>
      <c r="I204" s="533"/>
      <c r="K204" s="57">
        <f>MAX(E204:I205)</f>
        <v>0</v>
      </c>
      <c r="L204" s="79">
        <f>H200</f>
        <v>200</v>
      </c>
      <c r="M204" s="80"/>
    </row>
    <row r="205" spans="1:13" ht="12.75" customHeight="1">
      <c r="A205" s="559"/>
      <c r="B205" s="578"/>
      <c r="C205" s="579"/>
      <c r="D205" s="529"/>
      <c r="E205" s="531"/>
      <c r="F205" s="534"/>
      <c r="G205" s="535"/>
      <c r="H205" s="534"/>
      <c r="I205" s="535"/>
      <c r="L205" s="79"/>
      <c r="M205" s="80"/>
    </row>
    <row r="206" spans="1:13" ht="114.75" customHeight="1">
      <c r="A206" s="557" t="s">
        <v>436</v>
      </c>
      <c r="B206" s="560" t="s">
        <v>429</v>
      </c>
      <c r="C206" s="575"/>
      <c r="D206" s="527" t="s">
        <v>404</v>
      </c>
      <c r="E206" s="2" t="s">
        <v>405</v>
      </c>
      <c r="F206" s="536" t="s">
        <v>406</v>
      </c>
      <c r="G206" s="537"/>
      <c r="H206" s="536" t="s">
        <v>407</v>
      </c>
      <c r="I206" s="537"/>
      <c r="L206" s="79"/>
      <c r="M206" s="80"/>
    </row>
    <row r="207" spans="1:13" ht="12.75" customHeight="1">
      <c r="A207" s="558"/>
      <c r="B207" s="576"/>
      <c r="C207" s="577"/>
      <c r="D207" s="528"/>
      <c r="E207" s="530">
        <f>IF(AND(F207="",H207=""),IF($D$9="","",0),"")</f>
      </c>
      <c r="F207" s="532"/>
      <c r="G207" s="533"/>
      <c r="H207" s="532"/>
      <c r="I207" s="533"/>
      <c r="K207" s="57">
        <f>MAX(E207:I208)</f>
        <v>0</v>
      </c>
      <c r="L207" s="79">
        <f>$H$200</f>
        <v>200</v>
      </c>
      <c r="M207" s="80"/>
    </row>
    <row r="208" spans="1:13" ht="12.75" customHeight="1">
      <c r="A208" s="559"/>
      <c r="B208" s="578"/>
      <c r="C208" s="579"/>
      <c r="D208" s="529"/>
      <c r="E208" s="531"/>
      <c r="F208" s="534"/>
      <c r="G208" s="535"/>
      <c r="H208" s="534"/>
      <c r="I208" s="535"/>
      <c r="L208" s="79"/>
      <c r="M208" s="80"/>
    </row>
    <row r="209" spans="1:13" ht="68.25" customHeight="1">
      <c r="A209" s="557" t="s">
        <v>437</v>
      </c>
      <c r="B209" s="560" t="s">
        <v>408</v>
      </c>
      <c r="C209" s="561"/>
      <c r="D209" s="527" t="s">
        <v>409</v>
      </c>
      <c r="E209" s="2" t="s">
        <v>401</v>
      </c>
      <c r="F209" s="536" t="s">
        <v>399</v>
      </c>
      <c r="G209" s="537"/>
      <c r="H209" s="536" t="s">
        <v>400</v>
      </c>
      <c r="I209" s="537"/>
      <c r="L209" s="79"/>
      <c r="M209" s="80"/>
    </row>
    <row r="210" spans="1:13" ht="12.75" customHeight="1">
      <c r="A210" s="558"/>
      <c r="B210" s="562"/>
      <c r="C210" s="563"/>
      <c r="D210" s="528"/>
      <c r="E210" s="530">
        <f>IF(AND(F210="",H210=""),IF($D$9="","",0),"")</f>
      </c>
      <c r="F210" s="532"/>
      <c r="G210" s="533"/>
      <c r="H210" s="532"/>
      <c r="I210" s="533"/>
      <c r="K210" s="57">
        <f>MAX(E210:I211)</f>
        <v>0</v>
      </c>
      <c r="L210" s="79">
        <f>$H$200</f>
        <v>200</v>
      </c>
      <c r="M210" s="80"/>
    </row>
    <row r="211" spans="1:13" ht="12.75" customHeight="1">
      <c r="A211" s="559"/>
      <c r="B211" s="562"/>
      <c r="C211" s="563"/>
      <c r="D211" s="529"/>
      <c r="E211" s="531"/>
      <c r="F211" s="534"/>
      <c r="G211" s="535"/>
      <c r="H211" s="534"/>
      <c r="I211" s="535"/>
      <c r="L211" s="79"/>
      <c r="M211" s="80"/>
    </row>
    <row r="212" spans="1:13" ht="68.25" customHeight="1">
      <c r="A212" s="557" t="s">
        <v>438</v>
      </c>
      <c r="B212" s="560" t="s">
        <v>410</v>
      </c>
      <c r="C212" s="561"/>
      <c r="D212" s="527" t="s">
        <v>411</v>
      </c>
      <c r="E212" s="2" t="s">
        <v>401</v>
      </c>
      <c r="F212" s="536" t="s">
        <v>399</v>
      </c>
      <c r="G212" s="537"/>
      <c r="H212" s="536" t="s">
        <v>400</v>
      </c>
      <c r="I212" s="537"/>
      <c r="L212" s="79"/>
      <c r="M212" s="80"/>
    </row>
    <row r="213" spans="1:13" ht="12.75" customHeight="1">
      <c r="A213" s="558"/>
      <c r="B213" s="562"/>
      <c r="C213" s="563"/>
      <c r="D213" s="528"/>
      <c r="E213" s="530">
        <f>IF(AND(F213="",H213=""),IF($D$9="","",0),"")</f>
      </c>
      <c r="F213" s="532"/>
      <c r="G213" s="533"/>
      <c r="H213" s="532"/>
      <c r="I213" s="533"/>
      <c r="K213" s="57">
        <f>MAX(E213:I214)</f>
        <v>0</v>
      </c>
      <c r="L213" s="79">
        <f>$H$200</f>
        <v>200</v>
      </c>
      <c r="M213" s="80"/>
    </row>
    <row r="214" spans="1:13" ht="12.75" customHeight="1">
      <c r="A214" s="559"/>
      <c r="B214" s="564"/>
      <c r="C214" s="565"/>
      <c r="D214" s="529"/>
      <c r="E214" s="531"/>
      <c r="F214" s="534"/>
      <c r="G214" s="535"/>
      <c r="H214" s="534"/>
      <c r="I214" s="535"/>
      <c r="L214" s="79"/>
      <c r="M214" s="80"/>
    </row>
    <row r="215" spans="1:13" ht="14.25" customHeight="1">
      <c r="A215" s="541" t="s">
        <v>214</v>
      </c>
      <c r="B215" s="544" t="s">
        <v>138</v>
      </c>
      <c r="C215" s="545"/>
      <c r="D215" s="516" t="s">
        <v>261</v>
      </c>
      <c r="E215" s="519" t="s">
        <v>139</v>
      </c>
      <c r="F215" s="520"/>
      <c r="G215" s="520"/>
      <c r="H215" s="520"/>
      <c r="I215" s="521"/>
      <c r="L215" s="79"/>
      <c r="M215" s="80"/>
    </row>
    <row r="216" spans="1:13" ht="14.25" customHeight="1">
      <c r="A216" s="542"/>
      <c r="B216" s="546"/>
      <c r="C216" s="547"/>
      <c r="D216" s="517"/>
      <c r="E216" s="522" t="s">
        <v>161</v>
      </c>
      <c r="F216" s="523"/>
      <c r="G216" s="523"/>
      <c r="H216" s="523"/>
      <c r="I216" s="524"/>
      <c r="L216" s="79"/>
      <c r="M216" s="80"/>
    </row>
    <row r="217" spans="1:14" ht="14.25" customHeight="1">
      <c r="A217" s="543"/>
      <c r="B217" s="548"/>
      <c r="C217" s="549"/>
      <c r="D217" s="518"/>
      <c r="E217" s="3">
        <v>0</v>
      </c>
      <c r="F217" s="525">
        <v>100</v>
      </c>
      <c r="G217" s="526"/>
      <c r="H217" s="525">
        <v>200</v>
      </c>
      <c r="I217" s="526"/>
      <c r="L217" s="79"/>
      <c r="M217" s="80"/>
      <c r="N217" s="4"/>
    </row>
    <row r="218" spans="1:13" ht="76.5" customHeight="1">
      <c r="A218" s="557" t="s">
        <v>439</v>
      </c>
      <c r="B218" s="560" t="s">
        <v>431</v>
      </c>
      <c r="C218" s="561"/>
      <c r="D218" s="527" t="s">
        <v>412</v>
      </c>
      <c r="E218" s="2" t="s">
        <v>401</v>
      </c>
      <c r="F218" s="536" t="s">
        <v>399</v>
      </c>
      <c r="G218" s="537"/>
      <c r="H218" s="536" t="s">
        <v>400</v>
      </c>
      <c r="I218" s="537"/>
      <c r="L218" s="79"/>
      <c r="M218" s="80"/>
    </row>
    <row r="219" spans="1:13" ht="12.75" customHeight="1">
      <c r="A219" s="558"/>
      <c r="B219" s="562"/>
      <c r="C219" s="563"/>
      <c r="D219" s="528"/>
      <c r="E219" s="530">
        <f>IF(AND(F219="",H219=""),IF($D$9="","",0),"")</f>
      </c>
      <c r="F219" s="532"/>
      <c r="G219" s="533"/>
      <c r="H219" s="532"/>
      <c r="I219" s="533"/>
      <c r="K219" s="57">
        <f>MAX(E219:I220)</f>
        <v>0</v>
      </c>
      <c r="L219" s="79">
        <f>$H$200</f>
        <v>200</v>
      </c>
      <c r="M219" s="80"/>
    </row>
    <row r="220" spans="1:13" ht="12.75" customHeight="1">
      <c r="A220" s="559"/>
      <c r="B220" s="564"/>
      <c r="C220" s="565"/>
      <c r="D220" s="529"/>
      <c r="E220" s="531"/>
      <c r="F220" s="534"/>
      <c r="G220" s="535"/>
      <c r="H220" s="534"/>
      <c r="I220" s="535"/>
      <c r="L220" s="79"/>
      <c r="M220" s="80"/>
    </row>
    <row r="221" spans="1:13" ht="69.75" customHeight="1">
      <c r="A221" s="557" t="s">
        <v>440</v>
      </c>
      <c r="B221" s="560" t="s">
        <v>403</v>
      </c>
      <c r="C221" s="575"/>
      <c r="D221" s="527" t="s">
        <v>402</v>
      </c>
      <c r="E221" s="2" t="s">
        <v>373</v>
      </c>
      <c r="F221" s="536" t="s">
        <v>371</v>
      </c>
      <c r="G221" s="537"/>
      <c r="H221" s="536" t="s">
        <v>372</v>
      </c>
      <c r="I221" s="537"/>
      <c r="L221" s="79"/>
      <c r="M221" s="80"/>
    </row>
    <row r="222" spans="1:13" ht="12.75" customHeight="1">
      <c r="A222" s="558"/>
      <c r="B222" s="576"/>
      <c r="C222" s="577"/>
      <c r="D222" s="528"/>
      <c r="E222" s="530">
        <f>IF(AND(F222="",H222=""),IF($D$9="","",0),"")</f>
      </c>
      <c r="F222" s="532"/>
      <c r="G222" s="533"/>
      <c r="H222" s="532"/>
      <c r="I222" s="533"/>
      <c r="K222" s="57">
        <f>MAX(E222:I223)</f>
        <v>0</v>
      </c>
      <c r="L222" s="79">
        <f>$H$200</f>
        <v>200</v>
      </c>
      <c r="M222" s="80"/>
    </row>
    <row r="223" spans="1:13" ht="15.75" customHeight="1">
      <c r="A223" s="559"/>
      <c r="B223" s="578"/>
      <c r="C223" s="579"/>
      <c r="D223" s="529"/>
      <c r="E223" s="531"/>
      <c r="F223" s="534"/>
      <c r="G223" s="535"/>
      <c r="H223" s="534"/>
      <c r="I223" s="535"/>
      <c r="L223" s="79"/>
      <c r="M223" s="80"/>
    </row>
    <row r="224" spans="1:15" ht="14.25" customHeight="1">
      <c r="A224" s="541" t="s">
        <v>214</v>
      </c>
      <c r="B224" s="544" t="s">
        <v>138</v>
      </c>
      <c r="C224" s="545"/>
      <c r="D224" s="516" t="s">
        <v>180</v>
      </c>
      <c r="E224" s="612" t="s">
        <v>139</v>
      </c>
      <c r="F224" s="629"/>
      <c r="G224" s="629"/>
      <c r="H224" s="629"/>
      <c r="I224" s="630"/>
      <c r="L224" s="79"/>
      <c r="M224" s="80"/>
      <c r="N224" s="85"/>
      <c r="O224" s="85"/>
    </row>
    <row r="225" spans="1:13" ht="14.25" customHeight="1">
      <c r="A225" s="542"/>
      <c r="B225" s="546"/>
      <c r="C225" s="547"/>
      <c r="D225" s="517"/>
      <c r="E225" s="459" t="s">
        <v>158</v>
      </c>
      <c r="F225" s="460"/>
      <c r="G225" s="460"/>
      <c r="H225" s="460"/>
      <c r="I225" s="461"/>
      <c r="L225" s="79"/>
      <c r="M225" s="80"/>
    </row>
    <row r="226" spans="1:13" ht="14.25" customHeight="1">
      <c r="A226" s="543"/>
      <c r="B226" s="548"/>
      <c r="C226" s="549"/>
      <c r="D226" s="518"/>
      <c r="E226" s="29">
        <v>0</v>
      </c>
      <c r="F226" s="29">
        <v>10</v>
      </c>
      <c r="G226" s="29">
        <v>40</v>
      </c>
      <c r="H226" s="29">
        <v>100</v>
      </c>
      <c r="I226" s="29">
        <v>150</v>
      </c>
      <c r="L226" s="79"/>
      <c r="M226" s="80"/>
    </row>
    <row r="227" spans="1:13" ht="102.75" customHeight="1">
      <c r="A227" s="557" t="s">
        <v>441</v>
      </c>
      <c r="B227" s="560" t="s">
        <v>430</v>
      </c>
      <c r="C227" s="575"/>
      <c r="D227" s="527" t="s">
        <v>413</v>
      </c>
      <c r="E227" s="2" t="s">
        <v>164</v>
      </c>
      <c r="F227" s="2" t="s">
        <v>355</v>
      </c>
      <c r="G227" s="2" t="s">
        <v>155</v>
      </c>
      <c r="H227" s="2" t="s">
        <v>156</v>
      </c>
      <c r="I227" s="2" t="s">
        <v>165</v>
      </c>
      <c r="L227" s="79"/>
      <c r="M227" s="80"/>
    </row>
    <row r="228" spans="1:13" ht="12" customHeight="1">
      <c r="A228" s="558"/>
      <c r="B228" s="576"/>
      <c r="C228" s="577"/>
      <c r="D228" s="528"/>
      <c r="E228" s="530">
        <f>IF(AND(F228="",G228="",H228="",I228=""),IF($D$9="","",0),"")</f>
      </c>
      <c r="F228" s="538"/>
      <c r="G228" s="538"/>
      <c r="H228" s="538"/>
      <c r="I228" s="538"/>
      <c r="K228" s="57">
        <f>SUM(E228:I229)</f>
        <v>0</v>
      </c>
      <c r="L228" s="79">
        <v>300</v>
      </c>
      <c r="M228" s="80"/>
    </row>
    <row r="229" spans="1:13" ht="12" customHeight="1">
      <c r="A229" s="559"/>
      <c r="B229" s="578"/>
      <c r="C229" s="579"/>
      <c r="D229" s="529"/>
      <c r="E229" s="531"/>
      <c r="F229" s="539"/>
      <c r="G229" s="540"/>
      <c r="H229" s="540"/>
      <c r="I229" s="539"/>
      <c r="L229" s="79"/>
      <c r="M229" s="80"/>
    </row>
    <row r="230" spans="1:13" ht="14.25" customHeight="1">
      <c r="A230" s="541" t="s">
        <v>214</v>
      </c>
      <c r="B230" s="544" t="s">
        <v>138</v>
      </c>
      <c r="C230" s="545"/>
      <c r="D230" s="516" t="s">
        <v>180</v>
      </c>
      <c r="E230" s="629" t="s">
        <v>139</v>
      </c>
      <c r="F230" s="629"/>
      <c r="G230" s="629"/>
      <c r="H230" s="629"/>
      <c r="I230" s="630"/>
      <c r="J230" s="31"/>
      <c r="L230" s="79"/>
      <c r="M230" s="80"/>
    </row>
    <row r="231" spans="1:13" ht="14.25" customHeight="1">
      <c r="A231" s="542"/>
      <c r="B231" s="546"/>
      <c r="C231" s="547"/>
      <c r="D231" s="517"/>
      <c r="E231" s="460" t="s">
        <v>158</v>
      </c>
      <c r="F231" s="460"/>
      <c r="G231" s="460"/>
      <c r="H231" s="460"/>
      <c r="I231" s="461"/>
      <c r="J231" s="31"/>
      <c r="L231" s="79"/>
      <c r="M231" s="80"/>
    </row>
    <row r="232" spans="1:13" ht="14.25" customHeight="1">
      <c r="A232" s="543"/>
      <c r="B232" s="548"/>
      <c r="C232" s="549"/>
      <c r="D232" s="518"/>
      <c r="E232" s="135">
        <v>0</v>
      </c>
      <c r="F232" s="135" t="s">
        <v>417</v>
      </c>
      <c r="G232" s="135" t="s">
        <v>245</v>
      </c>
      <c r="H232" s="135" t="s">
        <v>424</v>
      </c>
      <c r="I232" s="135" t="s">
        <v>418</v>
      </c>
      <c r="J232" s="31"/>
      <c r="L232" s="79"/>
      <c r="M232" s="80"/>
    </row>
    <row r="233" spans="1:13" ht="25.5" customHeight="1">
      <c r="A233" s="557" t="s">
        <v>442</v>
      </c>
      <c r="B233" s="560" t="s">
        <v>419</v>
      </c>
      <c r="C233" s="561"/>
      <c r="D233" s="527" t="s">
        <v>420</v>
      </c>
      <c r="E233" s="23" t="s">
        <v>196</v>
      </c>
      <c r="F233" s="24" t="s">
        <v>355</v>
      </c>
      <c r="G233" s="28" t="s">
        <v>155</v>
      </c>
      <c r="H233" s="24" t="s">
        <v>156</v>
      </c>
      <c r="I233" s="24" t="s">
        <v>165</v>
      </c>
      <c r="L233" s="79"/>
      <c r="M233" s="80"/>
    </row>
    <row r="234" spans="1:13" ht="52.5" customHeight="1">
      <c r="A234" s="558"/>
      <c r="B234" s="562"/>
      <c r="C234" s="563"/>
      <c r="D234" s="528"/>
      <c r="E234" s="1"/>
      <c r="F234" s="350" t="s">
        <v>269</v>
      </c>
      <c r="G234" s="350" t="s">
        <v>269</v>
      </c>
      <c r="H234" s="350" t="s">
        <v>269</v>
      </c>
      <c r="I234" s="350" t="s">
        <v>269</v>
      </c>
      <c r="L234" s="79"/>
      <c r="M234" s="80"/>
    </row>
    <row r="235" spans="1:13" ht="14.25" customHeight="1" hidden="1">
      <c r="A235" s="558"/>
      <c r="B235" s="562" t="s">
        <v>421</v>
      </c>
      <c r="C235" s="563"/>
      <c r="D235" s="528"/>
      <c r="E235" s="1"/>
      <c r="F235" s="350"/>
      <c r="G235" s="350"/>
      <c r="H235" s="350"/>
      <c r="I235" s="350"/>
      <c r="L235" s="79"/>
      <c r="M235" s="80"/>
    </row>
    <row r="236" spans="1:13" ht="106.5" customHeight="1">
      <c r="A236" s="558"/>
      <c r="B236" s="562"/>
      <c r="C236" s="563"/>
      <c r="D236" s="528"/>
      <c r="E236" s="103"/>
      <c r="F236" s="348" t="s">
        <v>270</v>
      </c>
      <c r="G236" s="195" t="s">
        <v>271</v>
      </c>
      <c r="H236" s="123" t="s">
        <v>422</v>
      </c>
      <c r="I236" s="123" t="s">
        <v>423</v>
      </c>
      <c r="L236" s="79"/>
      <c r="M236" s="80"/>
    </row>
    <row r="237" spans="1:13" ht="12.75" customHeight="1">
      <c r="A237" s="558"/>
      <c r="B237" s="562"/>
      <c r="C237" s="563"/>
      <c r="D237" s="351"/>
      <c r="E237" s="530">
        <f>IF(AND(F237="",G237="",H237="",I237=""),IF($D$9="","",0),"")</f>
      </c>
      <c r="F237" s="566"/>
      <c r="G237" s="566"/>
      <c r="H237" s="566"/>
      <c r="I237" s="566"/>
      <c r="K237" s="57">
        <f>SUM(D237:I238)</f>
        <v>0</v>
      </c>
      <c r="L237" s="79">
        <v>250</v>
      </c>
      <c r="M237" s="80"/>
    </row>
    <row r="238" spans="1:13" ht="12.75" customHeight="1">
      <c r="A238" s="559"/>
      <c r="B238" s="564"/>
      <c r="C238" s="565"/>
      <c r="D238" s="352"/>
      <c r="E238" s="531"/>
      <c r="F238" s="567"/>
      <c r="G238" s="567"/>
      <c r="H238" s="567"/>
      <c r="I238" s="567"/>
      <c r="L238" s="79"/>
      <c r="M238" s="80"/>
    </row>
    <row r="239" spans="1:19" s="31" customFormat="1" ht="19.5" customHeight="1">
      <c r="A239" s="35"/>
      <c r="B239" s="221"/>
      <c r="C239" s="221"/>
      <c r="D239" s="30"/>
      <c r="E239" s="193"/>
      <c r="F239" s="193"/>
      <c r="G239" s="193"/>
      <c r="H239" s="193"/>
      <c r="I239" s="193"/>
      <c r="K239" s="57"/>
      <c r="L239" s="79"/>
      <c r="M239" s="80"/>
      <c r="N239" s="234"/>
      <c r="P239" s="37"/>
      <c r="Q239" s="37"/>
      <c r="R239" s="37"/>
      <c r="S239" s="37"/>
    </row>
    <row r="240" spans="1:24" s="37" customFormat="1" ht="11.25" customHeight="1">
      <c r="A240" s="35"/>
      <c r="B240" s="222"/>
      <c r="C240" s="222"/>
      <c r="D240" s="222"/>
      <c r="E240" s="33"/>
      <c r="F240" s="33"/>
      <c r="G240" s="33"/>
      <c r="H240" s="33"/>
      <c r="I240" s="33"/>
      <c r="K240" s="57"/>
      <c r="L240" s="79"/>
      <c r="M240" s="80"/>
      <c r="N240" s="234"/>
      <c r="P240" s="161"/>
      <c r="Q240" s="98"/>
      <c r="R240" s="98"/>
      <c r="S240" s="36"/>
      <c r="T240" s="36"/>
      <c r="U240" s="36"/>
      <c r="V240" s="36"/>
      <c r="W240" s="36"/>
      <c r="X240" s="36"/>
    </row>
    <row r="241" spans="2:23" s="37" customFormat="1" ht="15.75" customHeight="1">
      <c r="B241" s="603" t="s">
        <v>198</v>
      </c>
      <c r="C241" s="604"/>
      <c r="D241" s="604"/>
      <c r="E241" s="605"/>
      <c r="F241" s="600" t="s">
        <v>128</v>
      </c>
      <c r="G241" s="601"/>
      <c r="H241" s="602"/>
      <c r="K241" s="73"/>
      <c r="L241" s="82" t="s">
        <v>217</v>
      </c>
      <c r="M241" s="78"/>
      <c r="N241" s="234" t="s">
        <v>42</v>
      </c>
      <c r="O241" s="38"/>
      <c r="P241" s="98"/>
      <c r="Q241" s="98"/>
      <c r="R241" s="139"/>
      <c r="S241" s="139"/>
      <c r="T241" s="139"/>
      <c r="U241" s="139"/>
      <c r="V241" s="139"/>
      <c r="W241" s="139"/>
    </row>
    <row r="242" spans="1:23" s="37" customFormat="1" ht="15.75">
      <c r="A242" s="155" t="s">
        <v>120</v>
      </c>
      <c r="B242" s="597" t="s">
        <v>199</v>
      </c>
      <c r="C242" s="598"/>
      <c r="D242" s="598"/>
      <c r="E242" s="599"/>
      <c r="F242" s="164">
        <v>680</v>
      </c>
      <c r="G242" s="169" t="s">
        <v>416</v>
      </c>
      <c r="H242" s="91"/>
      <c r="J242" s="76"/>
      <c r="K242" s="108" t="s">
        <v>43</v>
      </c>
      <c r="L242" s="83"/>
      <c r="M242" s="83" t="s">
        <v>218</v>
      </c>
      <c r="N242" s="234"/>
      <c r="O242" s="38"/>
      <c r="P242" s="98"/>
      <c r="Q242" s="98"/>
      <c r="R242" s="39"/>
      <c r="S242" s="39"/>
      <c r="T242" s="39"/>
      <c r="U242" s="39"/>
      <c r="V242" s="39"/>
      <c r="W242" s="39"/>
    </row>
    <row r="243" spans="1:23" s="37" customFormat="1" ht="15.75">
      <c r="A243" s="155" t="s">
        <v>205</v>
      </c>
      <c r="B243" s="705" t="s">
        <v>200</v>
      </c>
      <c r="C243" s="706"/>
      <c r="D243" s="706"/>
      <c r="E243" s="707"/>
      <c r="F243" s="166">
        <v>1401</v>
      </c>
      <c r="G243" s="165" t="s">
        <v>247</v>
      </c>
      <c r="H243" s="167"/>
      <c r="J243" s="76"/>
      <c r="K243" s="109">
        <f>SUM(K39:K240)</f>
        <v>0</v>
      </c>
      <c r="L243" s="76">
        <f>SUM(L38,L67,L193)</f>
        <v>3950</v>
      </c>
      <c r="M243" s="76">
        <f>SUM(M38,M67,M193)</f>
        <v>2230</v>
      </c>
      <c r="N243" s="238">
        <f>SUM(N38,N67,N193)</f>
        <v>6180</v>
      </c>
      <c r="O243" s="40"/>
      <c r="P243" s="98"/>
      <c r="Q243" s="98"/>
      <c r="R243" s="139"/>
      <c r="S243" s="138"/>
      <c r="T243" s="138"/>
      <c r="U243" s="138"/>
      <c r="V243" s="138"/>
      <c r="W243" s="138"/>
    </row>
    <row r="244" spans="1:24" s="37" customFormat="1" ht="15.75">
      <c r="A244" s="35"/>
      <c r="B244" s="151"/>
      <c r="C244" s="210"/>
      <c r="D244" s="210"/>
      <c r="E244" s="92"/>
      <c r="F244" s="92"/>
      <c r="G244" s="43"/>
      <c r="H244" s="44"/>
      <c r="I244" s="92"/>
      <c r="K244" s="76"/>
      <c r="L244" s="76"/>
      <c r="N244" s="239"/>
      <c r="P244" s="41"/>
      <c r="Q244" s="99"/>
      <c r="R244" s="99"/>
      <c r="S244" s="139"/>
      <c r="T244" s="138"/>
      <c r="U244" s="138"/>
      <c r="V244" s="138"/>
      <c r="W244" s="138"/>
      <c r="X244" s="138"/>
    </row>
    <row r="245" spans="1:17" s="31" customFormat="1" ht="15">
      <c r="A245" s="35"/>
      <c r="B245" s="223"/>
      <c r="C245" s="191"/>
      <c r="D245" s="191"/>
      <c r="E245" s="191"/>
      <c r="F245" s="191"/>
      <c r="G245" s="191"/>
      <c r="H245" s="191"/>
      <c r="I245" s="191"/>
      <c r="K245" s="76"/>
      <c r="L245" s="76"/>
      <c r="M245" s="37"/>
      <c r="N245" s="239"/>
      <c r="P245" s="4"/>
      <c r="Q245" s="4"/>
    </row>
    <row r="246" spans="1:19" s="31" customFormat="1" ht="15.75" customHeight="1">
      <c r="A246" s="35"/>
      <c r="B246" s="704" t="s">
        <v>210</v>
      </c>
      <c r="C246" s="704"/>
      <c r="D246" s="704"/>
      <c r="E246" s="704"/>
      <c r="F246" s="704"/>
      <c r="G246" s="704"/>
      <c r="H246" s="90">
        <f>IF(OR(D9="",K243=0),"",K243)</f>
      </c>
      <c r="I246" s="45" t="s">
        <v>117</v>
      </c>
      <c r="J246" s="17"/>
      <c r="K246" s="76"/>
      <c r="L246" s="76"/>
      <c r="M246" s="76"/>
      <c r="N246" s="239"/>
      <c r="S246" s="4"/>
    </row>
    <row r="247" spans="1:19" s="31" customFormat="1" ht="15.75" customHeight="1">
      <c r="A247" s="35"/>
      <c r="B247" s="223"/>
      <c r="C247" s="191"/>
      <c r="D247" s="191"/>
      <c r="E247" s="191"/>
      <c r="F247" s="191"/>
      <c r="G247" s="191"/>
      <c r="H247" s="191"/>
      <c r="I247" s="193"/>
      <c r="J247" s="43"/>
      <c r="K247" s="73"/>
      <c r="L247" s="73"/>
      <c r="M247" s="73"/>
      <c r="N247" s="240"/>
      <c r="O247" s="43"/>
      <c r="R247" s="43"/>
      <c r="S247" s="4"/>
    </row>
    <row r="248" spans="1:19" s="31" customFormat="1" ht="15.75" customHeight="1">
      <c r="A248" s="247" t="s">
        <v>239</v>
      </c>
      <c r="B248" s="226"/>
      <c r="C248" s="224"/>
      <c r="D248" s="225"/>
      <c r="E248" s="252">
        <f>IF(OR(H246="",D9=""),"",IF(M36&lt;31,IF(K37=1,K36,""),""))</f>
      </c>
      <c r="F248" s="151"/>
      <c r="G248" s="148">
        <f>IF(OR(H246="",D9=""),"",IF(E16="первая",IF(H246&gt;=F242,"соответствует","не соответствует"),IF(H246&gt;=F243,"соответствует","не соответствует")))</f>
      </c>
      <c r="H248" s="48"/>
      <c r="I248" s="140" t="s">
        <v>119</v>
      </c>
      <c r="J248" s="43"/>
      <c r="K248" s="17"/>
      <c r="L248" s="17"/>
      <c r="M248" s="17"/>
      <c r="N248" s="240"/>
      <c r="O248" s="43"/>
      <c r="R248" s="43"/>
      <c r="S248" s="4"/>
    </row>
    <row r="249" spans="1:19" s="31" customFormat="1" ht="24" customHeight="1">
      <c r="A249" s="100" t="s">
        <v>201</v>
      </c>
      <c r="B249" s="226"/>
      <c r="C249" s="226"/>
      <c r="D249" s="226"/>
      <c r="E249" s="141">
        <f>IF(OR(H246="",D9="",E16=""),"",IF(E16="первая",A242,A243))</f>
      </c>
      <c r="F249" s="48" t="s">
        <v>118</v>
      </c>
      <c r="G249" s="48"/>
      <c r="H249" s="151"/>
      <c r="I249" s="138"/>
      <c r="J249" s="43"/>
      <c r="K249" s="43"/>
      <c r="L249" s="43"/>
      <c r="M249" s="43"/>
      <c r="N249" s="240"/>
      <c r="O249" s="43"/>
      <c r="R249" s="43"/>
      <c r="S249" s="4"/>
    </row>
    <row r="250" spans="1:19" s="31" customFormat="1" ht="15.75">
      <c r="A250" s="35"/>
      <c r="B250" s="223"/>
      <c r="C250" s="191"/>
      <c r="D250" s="191"/>
      <c r="E250" s="191"/>
      <c r="F250" s="191"/>
      <c r="G250" s="191"/>
      <c r="H250" s="191"/>
      <c r="I250" s="191"/>
      <c r="J250" s="4"/>
      <c r="K250" s="43"/>
      <c r="L250" s="43"/>
      <c r="M250" s="43"/>
      <c r="N250" s="240"/>
      <c r="O250" s="44"/>
      <c r="P250" s="44"/>
      <c r="Q250" s="44"/>
      <c r="R250" s="44"/>
      <c r="S250" s="4"/>
    </row>
    <row r="251" spans="1:19" s="31" customFormat="1" ht="15.75">
      <c r="A251" s="703" t="s">
        <v>325</v>
      </c>
      <c r="B251" s="703"/>
      <c r="C251" s="703"/>
      <c r="D251" s="191"/>
      <c r="E251" s="191"/>
      <c r="F251" s="191"/>
      <c r="G251" s="191"/>
      <c r="H251" s="191"/>
      <c r="I251" s="191"/>
      <c r="J251" s="4"/>
      <c r="K251" s="139"/>
      <c r="L251" s="43"/>
      <c r="M251" s="43"/>
      <c r="N251" s="240"/>
      <c r="O251" s="44"/>
      <c r="P251" s="44"/>
      <c r="Q251" s="44"/>
      <c r="R251" s="44"/>
      <c r="S251" s="4"/>
    </row>
    <row r="252" spans="1:19" s="31" customFormat="1" ht="15.75">
      <c r="A252" s="703"/>
      <c r="B252" s="703"/>
      <c r="C252" s="703"/>
      <c r="D252" s="227"/>
      <c r="E252" s="142"/>
      <c r="F252" s="202">
        <f>IF($D$9&lt;&gt;"",IF('общие сведения'!K68&lt;&gt;"",'общие сведения'!K68,""),"")</f>
      </c>
      <c r="G252" s="140"/>
      <c r="H252" s="140"/>
      <c r="I252" s="140"/>
      <c r="J252" s="4"/>
      <c r="K252" s="4"/>
      <c r="L252" s="4"/>
      <c r="M252" s="4"/>
      <c r="N252" s="44"/>
      <c r="P252" s="137"/>
      <c r="R252" s="47"/>
      <c r="S252" s="4"/>
    </row>
    <row r="253" spans="1:19" s="31" customFormat="1" ht="15.75">
      <c r="A253" s="330"/>
      <c r="B253" s="331"/>
      <c r="C253" s="8"/>
      <c r="D253" s="227"/>
      <c r="E253" s="142"/>
      <c r="F253" s="590" t="s">
        <v>204</v>
      </c>
      <c r="G253" s="590"/>
      <c r="H253" s="590"/>
      <c r="I253" s="590"/>
      <c r="K253" s="4"/>
      <c r="L253" s="4"/>
      <c r="M253" s="4"/>
      <c r="N253" s="44"/>
      <c r="O253" s="44"/>
      <c r="P253" s="44"/>
      <c r="Q253" s="44"/>
      <c r="R253" s="44"/>
      <c r="S253" s="4"/>
    </row>
    <row r="254" spans="1:19" s="31" customFormat="1" ht="15.75">
      <c r="A254" s="330" t="s">
        <v>202</v>
      </c>
      <c r="B254" s="331"/>
      <c r="C254" s="8"/>
      <c r="D254" s="227"/>
      <c r="E254" s="142"/>
      <c r="F254" s="202">
        <f>IF($D$9&lt;&gt;"",IF('общие сведения'!K70&lt;&gt;"",'общие сведения'!K70,""),"")</f>
      </c>
      <c r="G254" s="204"/>
      <c r="H254" s="203"/>
      <c r="I254" s="203"/>
      <c r="J254" s="48"/>
      <c r="K254" s="4"/>
      <c r="L254" s="4"/>
      <c r="M254" s="4"/>
      <c r="N254" s="234"/>
      <c r="O254" s="138"/>
      <c r="P254" s="138"/>
      <c r="R254" s="46"/>
      <c r="S254" s="4"/>
    </row>
    <row r="255" spans="1:19" s="31" customFormat="1" ht="15.75">
      <c r="A255" s="332"/>
      <c r="B255" s="333"/>
      <c r="C255" s="8"/>
      <c r="D255" s="227"/>
      <c r="E255" s="142"/>
      <c r="F255" s="590" t="s">
        <v>204</v>
      </c>
      <c r="G255" s="590"/>
      <c r="H255" s="590"/>
      <c r="I255" s="590"/>
      <c r="J255" s="138"/>
      <c r="N255" s="92"/>
      <c r="O255" s="48"/>
      <c r="P255" s="48"/>
      <c r="Q255" s="48"/>
      <c r="R255" s="48"/>
      <c r="S255" s="4"/>
    </row>
    <row r="256" spans="1:19" s="31" customFormat="1" ht="15.75">
      <c r="A256" s="332"/>
      <c r="B256" s="334"/>
      <c r="C256" s="8"/>
      <c r="D256" s="227"/>
      <c r="E256" s="142"/>
      <c r="F256" s="202">
        <f>IF($D$9&lt;&gt;"",IF('общие сведения'!K72&lt;&gt;"",'общие сведения'!K72,""),"")</f>
      </c>
      <c r="G256" s="204"/>
      <c r="H256" s="203"/>
      <c r="I256" s="203"/>
      <c r="J256" s="4"/>
      <c r="K256" s="48"/>
      <c r="L256" s="48"/>
      <c r="M256" s="48"/>
      <c r="N256" s="240"/>
      <c r="P256" s="42"/>
      <c r="Q256" s="4"/>
      <c r="R256" s="4"/>
      <c r="S256" s="4"/>
    </row>
    <row r="257" spans="1:18" s="31" customFormat="1" ht="15.75">
      <c r="A257" s="332"/>
      <c r="B257" s="334"/>
      <c r="C257" s="8"/>
      <c r="D257" s="227"/>
      <c r="E257" s="142"/>
      <c r="F257" s="590" t="s">
        <v>204</v>
      </c>
      <c r="G257" s="590"/>
      <c r="H257" s="590"/>
      <c r="I257" s="590"/>
      <c r="J257" s="142"/>
      <c r="L257" s="48"/>
      <c r="M257" s="48"/>
      <c r="N257" s="202"/>
      <c r="O257" s="142"/>
      <c r="P257" s="142"/>
      <c r="Q257" s="142"/>
      <c r="R257" s="142"/>
    </row>
    <row r="258" spans="1:18" s="31" customFormat="1" ht="15.75" hidden="1">
      <c r="A258" s="332"/>
      <c r="B258" s="334"/>
      <c r="C258" s="8"/>
      <c r="D258" s="227"/>
      <c r="E258" s="142"/>
      <c r="F258" s="202">
        <f>IF($D$9&lt;&gt;"",IF('общие сведения'!K74&lt;&gt;"",'общие сведения'!K74,""),"")</f>
      </c>
      <c r="G258" s="204"/>
      <c r="H258" s="203"/>
      <c r="I258" s="203"/>
      <c r="J258" s="142"/>
      <c r="K258" s="4"/>
      <c r="L258" s="4"/>
      <c r="M258" s="4"/>
      <c r="N258" s="234"/>
      <c r="O258" s="143"/>
      <c r="P258" s="143"/>
      <c r="Q258" s="143"/>
      <c r="R258" s="143"/>
    </row>
    <row r="259" spans="1:18" s="31" customFormat="1" ht="15.75" hidden="1">
      <c r="A259" s="332"/>
      <c r="B259" s="334"/>
      <c r="C259" s="8"/>
      <c r="D259" s="191"/>
      <c r="E259" s="191"/>
      <c r="F259" s="590" t="s">
        <v>204</v>
      </c>
      <c r="G259" s="590"/>
      <c r="H259" s="590"/>
      <c r="I259" s="590"/>
      <c r="J259" s="142"/>
      <c r="K259" s="4"/>
      <c r="M259" s="142"/>
      <c r="N259" s="241"/>
      <c r="O259" s="142"/>
      <c r="P259" s="142"/>
      <c r="Q259" s="142"/>
      <c r="R259" s="142"/>
    </row>
    <row r="260" spans="1:18" s="31" customFormat="1" ht="15.75">
      <c r="A260" s="35"/>
      <c r="B260" s="223"/>
      <c r="C260" s="191"/>
      <c r="D260" s="191"/>
      <c r="E260" s="191"/>
      <c r="F260" s="172"/>
      <c r="G260" s="172"/>
      <c r="H260" s="172"/>
      <c r="I260" s="172"/>
      <c r="J260" s="142"/>
      <c r="M260" s="143"/>
      <c r="N260" s="242"/>
      <c r="O260" s="142"/>
      <c r="P260" s="142"/>
      <c r="Q260" s="142"/>
      <c r="R260" s="142"/>
    </row>
    <row r="261" spans="1:18" s="31" customFormat="1" ht="15.75">
      <c r="A261" s="151"/>
      <c r="B261" s="571" t="s">
        <v>22</v>
      </c>
      <c r="C261" s="571"/>
      <c r="D261" s="571"/>
      <c r="E261" s="571"/>
      <c r="G261" s="174" t="str">
        <f>IF(H246&lt;&gt;""," «  "&amp;'общие сведения'!C77&amp;"  »  "&amp;'общие сведения'!E77&amp;"  20"&amp;'общие сведения'!G77&amp;" г.","« __ » ___________  20__ г.")</f>
        <v>« __ » ___________  20__ г.</v>
      </c>
      <c r="H261" s="205"/>
      <c r="I261" s="187"/>
      <c r="J261" s="142"/>
      <c r="K261" s="4"/>
      <c r="M261" s="142"/>
      <c r="N261" s="241"/>
      <c r="O261" s="143"/>
      <c r="P261" s="143"/>
      <c r="Q261" s="143"/>
      <c r="R261" s="143"/>
    </row>
    <row r="262" spans="1:18" s="31" customFormat="1" ht="8.25" customHeight="1">
      <c r="A262" s="151"/>
      <c r="B262" s="228"/>
      <c r="C262" s="228"/>
      <c r="D262" s="228"/>
      <c r="E262" s="49"/>
      <c r="F262" s="174"/>
      <c r="G262" s="206"/>
      <c r="H262" s="205"/>
      <c r="I262" s="187"/>
      <c r="J262" s="142"/>
      <c r="K262" s="4"/>
      <c r="M262" s="142"/>
      <c r="N262" s="241"/>
      <c r="O262" s="143"/>
      <c r="P262" s="143"/>
      <c r="Q262" s="143"/>
      <c r="R262" s="143"/>
    </row>
    <row r="263" spans="1:18" s="31" customFormat="1" ht="15.75">
      <c r="A263" s="151"/>
      <c r="B263" s="228"/>
      <c r="C263" s="228"/>
      <c r="D263" s="228"/>
      <c r="E263" s="49"/>
      <c r="F263" s="174"/>
      <c r="G263" s="206"/>
      <c r="H263" s="205"/>
      <c r="I263" s="187"/>
      <c r="J263" s="142"/>
      <c r="M263" s="143"/>
      <c r="N263" s="242"/>
      <c r="O263" s="143"/>
      <c r="P263" s="143"/>
      <c r="Q263" s="143"/>
      <c r="R263" s="143"/>
    </row>
    <row r="264" spans="1:18" s="31" customFormat="1" ht="15.75">
      <c r="A264" s="151"/>
      <c r="B264" s="228"/>
      <c r="C264" s="228"/>
      <c r="D264" s="228"/>
      <c r="E264" s="49"/>
      <c r="F264" s="174"/>
      <c r="G264" s="206"/>
      <c r="H264" s="205"/>
      <c r="I264" s="187"/>
      <c r="J264" s="142"/>
      <c r="M264" s="143"/>
      <c r="N264" s="242"/>
      <c r="O264" s="143"/>
      <c r="P264" s="143"/>
      <c r="Q264" s="143"/>
      <c r="R264" s="143"/>
    </row>
    <row r="265" spans="1:18" s="31" customFormat="1" ht="15.75">
      <c r="A265" s="35"/>
      <c r="B265" s="223"/>
      <c r="C265" s="228"/>
      <c r="D265" s="191"/>
      <c r="E265" s="191"/>
      <c r="F265" s="191"/>
      <c r="G265" s="191"/>
      <c r="H265" s="50"/>
      <c r="I265" s="191"/>
      <c r="J265" s="142"/>
      <c r="M265" s="143"/>
      <c r="N265" s="242"/>
      <c r="O265" s="142"/>
      <c r="P265" s="142"/>
      <c r="Q265" s="142"/>
      <c r="R265" s="142"/>
    </row>
    <row r="266" spans="1:18" s="31" customFormat="1" ht="15.75" customHeight="1">
      <c r="A266" s="570" t="s">
        <v>336</v>
      </c>
      <c r="B266" s="570"/>
      <c r="C266" s="570"/>
      <c r="D266" s="570"/>
      <c r="E266" s="570"/>
      <c r="F266" s="570"/>
      <c r="G266" s="570"/>
      <c r="H266" s="570"/>
      <c r="I266" s="570"/>
      <c r="J266" s="142"/>
      <c r="M266" s="143"/>
      <c r="N266" s="242"/>
      <c r="O266" s="143"/>
      <c r="P266" s="143"/>
      <c r="Q266" s="143"/>
      <c r="R266" s="143"/>
    </row>
    <row r="267" spans="1:19" s="31" customFormat="1" ht="15.75">
      <c r="A267" s="208" t="s">
        <v>21</v>
      </c>
      <c r="B267" s="151"/>
      <c r="C267" s="229"/>
      <c r="D267" s="151"/>
      <c r="E267" s="149"/>
      <c r="F267" s="100">
        <f>IF('общие сведения'!K19&lt;&gt;"",'общие сведения'!K19,"")</f>
      </c>
      <c r="G267" s="37"/>
      <c r="H267" s="37"/>
      <c r="J267" s="142"/>
      <c r="K267" s="4"/>
      <c r="L267" s="142">
        <f>IF(ЭЗ!E514&lt;&gt;"",ЭЗ!E514,"")</f>
      </c>
      <c r="M267" s="142"/>
      <c r="N267" s="241"/>
      <c r="O267" s="143"/>
      <c r="P267" s="143"/>
      <c r="Q267" s="143"/>
      <c r="R267" s="143"/>
      <c r="S267" s="4"/>
    </row>
    <row r="268" spans="1:18" s="31" customFormat="1" ht="15.75">
      <c r="A268" s="35"/>
      <c r="B268" s="187"/>
      <c r="C268" s="191"/>
      <c r="D268" s="702" t="s">
        <v>203</v>
      </c>
      <c r="E268" s="702"/>
      <c r="F268" s="590" t="s">
        <v>204</v>
      </c>
      <c r="G268" s="590"/>
      <c r="H268" s="590"/>
      <c r="I268" s="590"/>
      <c r="M268" s="143"/>
      <c r="N268" s="242"/>
      <c r="O268" s="145"/>
      <c r="P268" s="146"/>
      <c r="Q268" s="147"/>
      <c r="R268" s="4"/>
    </row>
    <row r="269" spans="1:18" s="31" customFormat="1" ht="15.75">
      <c r="A269" s="35"/>
      <c r="B269" s="187"/>
      <c r="C269" s="191"/>
      <c r="D269" s="207"/>
      <c r="E269" s="207"/>
      <c r="F269" s="172"/>
      <c r="G269" s="172"/>
      <c r="H269" s="172"/>
      <c r="I269" s="172"/>
      <c r="M269" s="143"/>
      <c r="N269" s="242"/>
      <c r="O269" s="145"/>
      <c r="P269" s="146"/>
      <c r="Q269" s="147"/>
      <c r="R269" s="4"/>
    </row>
    <row r="270" spans="1:18" s="31" customFormat="1" ht="15.75">
      <c r="A270" s="35"/>
      <c r="B270" s="187"/>
      <c r="C270" s="191"/>
      <c r="D270" s="207"/>
      <c r="E270" s="207"/>
      <c r="F270" s="172"/>
      <c r="G270" s="172"/>
      <c r="H270" s="172"/>
      <c r="I270" s="172"/>
      <c r="M270" s="144"/>
      <c r="N270" s="243"/>
      <c r="O270" s="145"/>
      <c r="P270" s="146"/>
      <c r="Q270" s="147"/>
      <c r="R270" s="4"/>
    </row>
    <row r="271" spans="1:18" s="31" customFormat="1" ht="15.75">
      <c r="A271" s="35"/>
      <c r="B271" s="187"/>
      <c r="C271" s="191"/>
      <c r="D271" s="207"/>
      <c r="E271" s="207"/>
      <c r="F271" s="172"/>
      <c r="G271" s="172"/>
      <c r="H271" s="172"/>
      <c r="I271" s="172"/>
      <c r="M271" s="144"/>
      <c r="N271" s="243"/>
      <c r="O271" s="145"/>
      <c r="P271" s="146"/>
      <c r="Q271" s="147"/>
      <c r="R271" s="4"/>
    </row>
    <row r="272" spans="1:19" s="31" customFormat="1" ht="15.75">
      <c r="A272" s="158" t="s">
        <v>215</v>
      </c>
      <c r="B272" s="151"/>
      <c r="C272" s="230"/>
      <c r="D272" s="230"/>
      <c r="E272" s="157"/>
      <c r="F272" s="157"/>
      <c r="G272" s="157"/>
      <c r="H272" s="157"/>
      <c r="I272" s="157"/>
      <c r="J272" s="4"/>
      <c r="M272" s="144"/>
      <c r="N272" s="243"/>
      <c r="O272" s="53"/>
      <c r="P272" s="51"/>
      <c r="Q272" s="54"/>
      <c r="R272" s="4"/>
      <c r="S272" s="4"/>
    </row>
    <row r="273" spans="1:19" s="31" customFormat="1" ht="15.75">
      <c r="A273" s="35"/>
      <c r="B273" s="231"/>
      <c r="C273" s="231"/>
      <c r="D273" s="231"/>
      <c r="E273" s="55"/>
      <c r="F273" s="55"/>
      <c r="G273" s="55"/>
      <c r="H273" s="55"/>
      <c r="I273" s="55"/>
      <c r="J273" s="156"/>
      <c r="M273" s="144"/>
      <c r="N273" s="243"/>
      <c r="O273" s="156"/>
      <c r="P273" s="156"/>
      <c r="Q273" s="156"/>
      <c r="R273" s="156"/>
      <c r="S273" s="4"/>
    </row>
    <row r="274" spans="1:19" s="31" customFormat="1" ht="15.75">
      <c r="A274" s="581">
        <f>IF(H246&lt;&gt;"",'общие сведения'!L143,"")</f>
      </c>
      <c r="B274" s="582"/>
      <c r="C274" s="582"/>
      <c r="D274" s="582"/>
      <c r="E274" s="582"/>
      <c r="F274" s="582"/>
      <c r="G274" s="582"/>
      <c r="H274" s="582"/>
      <c r="I274" s="582"/>
      <c r="J274" s="4"/>
      <c r="K274" s="52"/>
      <c r="L274" s="49"/>
      <c r="M274" s="53"/>
      <c r="N274" s="243"/>
      <c r="O274" s="4"/>
      <c r="P274" s="42"/>
      <c r="Q274" s="4"/>
      <c r="R274" s="4"/>
      <c r="S274" s="4"/>
    </row>
    <row r="275" spans="1:19" s="31" customFormat="1" ht="15">
      <c r="A275" s="582"/>
      <c r="B275" s="582"/>
      <c r="C275" s="582"/>
      <c r="D275" s="582"/>
      <c r="E275" s="582"/>
      <c r="F275" s="582"/>
      <c r="G275" s="582"/>
      <c r="H275" s="582"/>
      <c r="I275" s="582"/>
      <c r="J275" s="152"/>
      <c r="K275" s="156"/>
      <c r="L275" s="156"/>
      <c r="M275" s="156"/>
      <c r="N275" s="55"/>
      <c r="O275" s="347"/>
      <c r="P275" s="347"/>
      <c r="Q275" s="347"/>
      <c r="R275" s="347"/>
      <c r="S275" s="4"/>
    </row>
    <row r="276" spans="1:19" s="31" customFormat="1" ht="15.75">
      <c r="A276" s="582"/>
      <c r="B276" s="582"/>
      <c r="C276" s="582"/>
      <c r="D276" s="582"/>
      <c r="E276" s="582"/>
      <c r="F276" s="582"/>
      <c r="G276" s="582"/>
      <c r="H276" s="582"/>
      <c r="I276" s="582"/>
      <c r="J276" s="153"/>
      <c r="K276" s="4"/>
      <c r="L276" s="4"/>
      <c r="M276" s="4"/>
      <c r="N276" s="234"/>
      <c r="O276" s="153"/>
      <c r="P276" s="153"/>
      <c r="Q276" s="153"/>
      <c r="R276" s="153"/>
      <c r="S276" s="4"/>
    </row>
    <row r="277" spans="1:19" s="31" customFormat="1" ht="16.5" customHeight="1">
      <c r="A277" s="582"/>
      <c r="B277" s="582"/>
      <c r="C277" s="582"/>
      <c r="D277" s="582"/>
      <c r="E277" s="582"/>
      <c r="F277" s="582"/>
      <c r="G277" s="582"/>
      <c r="H277" s="582"/>
      <c r="I277" s="582"/>
      <c r="J277" s="157"/>
      <c r="K277" s="152"/>
      <c r="L277" s="4"/>
      <c r="M277" s="347"/>
      <c r="N277" s="347"/>
      <c r="O277" s="157"/>
      <c r="P277" s="157"/>
      <c r="Q277" s="157"/>
      <c r="R277" s="157"/>
      <c r="S277" s="4"/>
    </row>
    <row r="278" spans="1:19" s="31" customFormat="1" ht="16.5" customHeight="1">
      <c r="A278" s="36"/>
      <c r="B278" s="232"/>
      <c r="C278" s="232"/>
      <c r="D278" s="233"/>
      <c r="E278" s="36"/>
      <c r="F278" s="36"/>
      <c r="G278" s="36"/>
      <c r="H278" s="36"/>
      <c r="I278" s="36"/>
      <c r="J278" s="55"/>
      <c r="K278" s="153"/>
      <c r="N278" s="240"/>
      <c r="O278" s="55"/>
      <c r="P278" s="55"/>
      <c r="Q278" s="55"/>
      <c r="R278" s="55"/>
      <c r="S278" s="4"/>
    </row>
    <row r="279" spans="1:19" s="31" customFormat="1" ht="33" customHeight="1">
      <c r="A279" s="55"/>
      <c r="B279" s="583" t="str">
        <f>IF(A293=13,"Экспертное заключение ГОТОВО к печати","ЭЗ не готово к печати")</f>
        <v>ЭЗ не готово к печати</v>
      </c>
      <c r="C279" s="583"/>
      <c r="D279" s="583"/>
      <c r="E279" s="583"/>
      <c r="F279" s="583"/>
      <c r="G279" s="583"/>
      <c r="H279" s="583"/>
      <c r="I279" s="583"/>
      <c r="J279" s="55"/>
      <c r="K279" s="157"/>
      <c r="L279" s="157"/>
      <c r="M279" s="157"/>
      <c r="N279" s="244"/>
      <c r="O279" s="55"/>
      <c r="P279" s="55"/>
      <c r="R279" s="55"/>
      <c r="S279" s="4"/>
    </row>
    <row r="280" spans="1:19" s="31" customFormat="1" ht="15">
      <c r="A280" s="294">
        <f aca="true" t="shared" si="1" ref="A280:A292">IF(F280=" + ",1,0)</f>
        <v>0</v>
      </c>
      <c r="B280" s="589" t="s">
        <v>123</v>
      </c>
      <c r="C280" s="589"/>
      <c r="D280" s="589"/>
      <c r="E280" s="314"/>
      <c r="F280" s="314" t="str">
        <f>IF(D9&lt;&gt;""," + ","не заполнено")</f>
        <v>не заполнено</v>
      </c>
      <c r="G280" s="315"/>
      <c r="H280" s="314"/>
      <c r="I280" s="314"/>
      <c r="J280" s="55"/>
      <c r="K280" s="55"/>
      <c r="L280" s="55"/>
      <c r="M280" s="55"/>
      <c r="N280" s="55"/>
      <c r="O280" s="55"/>
      <c r="P280" s="56"/>
      <c r="R280" s="55"/>
      <c r="S280" s="4"/>
    </row>
    <row r="281" spans="1:19" s="31" customFormat="1" ht="15">
      <c r="A281" s="294">
        <f t="shared" si="1"/>
        <v>0</v>
      </c>
      <c r="B281" s="569" t="s">
        <v>207</v>
      </c>
      <c r="C281" s="569"/>
      <c r="D281" s="569"/>
      <c r="E281" s="317"/>
      <c r="F281" s="318" t="str">
        <f>IF(C10&lt;&gt;""," + ","не заполнено")</f>
        <v>не заполнено</v>
      </c>
      <c r="G281" s="319"/>
      <c r="H281" s="317"/>
      <c r="I281" s="317"/>
      <c r="J281" s="55"/>
      <c r="K281" s="55"/>
      <c r="L281" s="55"/>
      <c r="M281" s="55"/>
      <c r="N281" s="55"/>
      <c r="O281" s="55"/>
      <c r="P281" s="56"/>
      <c r="R281" s="55"/>
      <c r="S281" s="4"/>
    </row>
    <row r="282" spans="1:19" s="31" customFormat="1" ht="15.75" customHeight="1">
      <c r="A282" s="294">
        <f t="shared" si="1"/>
        <v>0</v>
      </c>
      <c r="B282" s="569" t="s">
        <v>208</v>
      </c>
      <c r="C282" s="569"/>
      <c r="D282" s="569"/>
      <c r="E282" s="317"/>
      <c r="F282" s="318" t="str">
        <f>IF(C12&lt;&gt;""," + ","не заполнено")</f>
        <v>не заполнено</v>
      </c>
      <c r="G282" s="319"/>
      <c r="H282" s="317"/>
      <c r="I282" s="317"/>
      <c r="J282" s="154"/>
      <c r="K282" s="55"/>
      <c r="L282" s="55"/>
      <c r="M282" s="55"/>
      <c r="N282" s="55"/>
      <c r="O282" s="154"/>
      <c r="P282" s="154"/>
      <c r="R282" s="154"/>
      <c r="S282" s="4"/>
    </row>
    <row r="283" spans="1:19" s="31" customFormat="1" ht="15">
      <c r="A283" s="294">
        <f t="shared" si="1"/>
        <v>0</v>
      </c>
      <c r="B283" s="569" t="s">
        <v>124</v>
      </c>
      <c r="C283" s="569"/>
      <c r="D283" s="569"/>
      <c r="E283" s="318"/>
      <c r="F283" s="318" t="str">
        <f>IF(G13&lt;&gt;""," + ","не заполнено")</f>
        <v>не заполнено</v>
      </c>
      <c r="G283" s="319"/>
      <c r="H283" s="318"/>
      <c r="I283" s="318"/>
      <c r="K283" s="55"/>
      <c r="L283" s="55"/>
      <c r="M283" s="55"/>
      <c r="N283" s="55"/>
      <c r="P283" s="4"/>
      <c r="R283" s="4"/>
      <c r="S283" s="4"/>
    </row>
    <row r="284" spans="1:19" s="31" customFormat="1" ht="15.75">
      <c r="A284" s="294">
        <f t="shared" si="1"/>
        <v>0</v>
      </c>
      <c r="B284" s="569" t="s">
        <v>219</v>
      </c>
      <c r="C284" s="569"/>
      <c r="D284" s="569"/>
      <c r="E284" s="318"/>
      <c r="F284" s="318" t="str">
        <f>IF(D14&lt;&gt;""," + ","не заполнено")</f>
        <v>не заполнено</v>
      </c>
      <c r="G284" s="319"/>
      <c r="H284" s="318"/>
      <c r="I284" s="318"/>
      <c r="K284" s="154"/>
      <c r="L284" s="154"/>
      <c r="M284" s="154"/>
      <c r="N284" s="245"/>
      <c r="P284" s="4"/>
      <c r="R284" s="4"/>
      <c r="S284" s="4"/>
    </row>
    <row r="285" spans="1:14" ht="15">
      <c r="A285" s="294">
        <f t="shared" si="1"/>
        <v>0</v>
      </c>
      <c r="B285" s="569" t="s">
        <v>220</v>
      </c>
      <c r="C285" s="569"/>
      <c r="D285" s="569"/>
      <c r="E285" s="320"/>
      <c r="F285" s="318" t="str">
        <f>IF(E15&lt;&gt;""," + ","не заполнено")</f>
        <v>не заполнено</v>
      </c>
      <c r="G285" s="321"/>
      <c r="H285" s="318"/>
      <c r="I285" s="318"/>
      <c r="K285" s="73"/>
      <c r="L285" s="73"/>
      <c r="M285" s="73"/>
      <c r="N285" s="240"/>
    </row>
    <row r="286" spans="1:14" ht="15">
      <c r="A286" s="294">
        <f t="shared" si="1"/>
        <v>0</v>
      </c>
      <c r="B286" s="569" t="s">
        <v>221</v>
      </c>
      <c r="C286" s="569"/>
      <c r="D286" s="569"/>
      <c r="E286" s="322"/>
      <c r="F286" s="318" t="str">
        <f>IF(I15&lt;&gt;""," + ",IF(E15="нет"," + ","не заполнено"))</f>
        <v>не заполнено</v>
      </c>
      <c r="G286" s="321"/>
      <c r="H286" s="322"/>
      <c r="I286" s="323"/>
      <c r="K286" s="73"/>
      <c r="L286" s="73"/>
      <c r="M286" s="73"/>
      <c r="N286" s="240"/>
    </row>
    <row r="287" spans="1:9" ht="15">
      <c r="A287" s="294">
        <f t="shared" si="1"/>
        <v>0</v>
      </c>
      <c r="B287" s="569" t="s">
        <v>125</v>
      </c>
      <c r="C287" s="569"/>
      <c r="D287" s="569"/>
      <c r="E287" s="322"/>
      <c r="F287" s="318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287" s="321"/>
      <c r="H287" s="324"/>
      <c r="I287" s="324"/>
    </row>
    <row r="288" spans="1:9" ht="15">
      <c r="A288" s="294">
        <f t="shared" si="1"/>
        <v>0</v>
      </c>
      <c r="B288" s="569" t="s">
        <v>326</v>
      </c>
      <c r="C288" s="569"/>
      <c r="D288" s="569"/>
      <c r="E288" s="321"/>
      <c r="F288" s="318" t="str">
        <f>IF(F252&lt;&gt;""," + ","не заполнено")</f>
        <v>не заполнено</v>
      </c>
      <c r="G288" s="321"/>
      <c r="H288" s="321"/>
      <c r="I288" s="321"/>
    </row>
    <row r="289" spans="1:9" ht="15">
      <c r="A289" s="294">
        <f t="shared" si="1"/>
        <v>0</v>
      </c>
      <c r="B289" s="569" t="s">
        <v>209</v>
      </c>
      <c r="C289" s="569"/>
      <c r="D289" s="569"/>
      <c r="E289" s="316" t="s">
        <v>327</v>
      </c>
      <c r="F289" s="318" t="str">
        <f>IF(F254&lt;&gt;""," + ","не заполнено")</f>
        <v>не заполнено</v>
      </c>
      <c r="G289" s="321"/>
      <c r="H289" s="321"/>
      <c r="I289" s="321"/>
    </row>
    <row r="290" spans="1:9" ht="15">
      <c r="A290" s="294">
        <f t="shared" si="1"/>
        <v>0</v>
      </c>
      <c r="B290" s="325"/>
      <c r="C290" s="326"/>
      <c r="D290" s="326"/>
      <c r="E290" s="316" t="s">
        <v>328</v>
      </c>
      <c r="F290" s="318" t="str">
        <f>IF(AND('общие сведения'!$F$66&gt;1,F256=""),"не заполнено",IF(AND('общие сведения'!$F$66&lt;2,F256&lt;&gt;""),"кол-во экспертов не предусматривает наличие второго"," + "))</f>
        <v>не заполнено</v>
      </c>
      <c r="G290" s="321"/>
      <c r="H290" s="321"/>
      <c r="I290" s="321"/>
    </row>
    <row r="291" spans="1:9" ht="15">
      <c r="A291" s="294">
        <f t="shared" si="1"/>
        <v>1</v>
      </c>
      <c r="B291" s="325"/>
      <c r="C291" s="326"/>
      <c r="D291" s="326"/>
      <c r="E291" s="316" t="s">
        <v>329</v>
      </c>
      <c r="F291" s="318" t="str">
        <f>IF(AND('общие сведения'!$F$66&gt;2,F258=""),"не заполнено",IF(AND('общие сведения'!$F$66&lt;3,F258&lt;&gt;""),"кол-во экспертов не предусматривает наличие третьего"," + "))</f>
        <v> + </v>
      </c>
      <c r="G291" s="321"/>
      <c r="H291" s="321"/>
      <c r="I291" s="321"/>
    </row>
    <row r="292" spans="1:9" ht="15">
      <c r="A292" s="294">
        <f t="shared" si="1"/>
        <v>0</v>
      </c>
      <c r="B292" s="585" t="s">
        <v>331</v>
      </c>
      <c r="C292" s="585"/>
      <c r="D292" s="585"/>
      <c r="E292" s="585"/>
      <c r="F292" s="318" t="str">
        <f>IF(H246&lt;&gt;""," + ","не заполнено - подсчет автоматический")</f>
        <v>не заполнено - подсчет автоматический</v>
      </c>
      <c r="G292" s="321"/>
      <c r="H292" s="321"/>
      <c r="I292" s="321"/>
    </row>
    <row r="293" spans="1:9" ht="15">
      <c r="A293" s="295">
        <f>SUM(A280:A292)</f>
        <v>1</v>
      </c>
      <c r="B293" s="327"/>
      <c r="C293" s="328"/>
      <c r="D293" s="328"/>
      <c r="E293" s="329"/>
      <c r="F293" s="329"/>
      <c r="G293" s="329"/>
      <c r="H293" s="329"/>
      <c r="I293" s="329"/>
    </row>
    <row r="294" spans="1:14" s="282" customFormat="1" ht="15.75" thickBot="1">
      <c r="A294" s="297"/>
      <c r="B294" s="298"/>
      <c r="C294" s="299"/>
      <c r="D294" s="299"/>
      <c r="E294" s="300"/>
      <c r="F294" s="300"/>
      <c r="G294" s="300"/>
      <c r="H294" s="300"/>
      <c r="I294" s="300"/>
      <c r="K294" s="57"/>
      <c r="L294" s="57"/>
      <c r="M294" s="57"/>
      <c r="N294" s="234"/>
    </row>
    <row r="295" spans="1:14" s="310" customFormat="1" ht="19.5" thickBot="1">
      <c r="A295" s="309"/>
      <c r="B295" s="586" t="s">
        <v>334</v>
      </c>
      <c r="C295" s="587"/>
      <c r="D295" s="587"/>
      <c r="E295" s="587"/>
      <c r="F295" s="587"/>
      <c r="G295" s="587"/>
      <c r="H295" s="587"/>
      <c r="I295" s="588"/>
      <c r="K295" s="57"/>
      <c r="L295" s="57"/>
      <c r="M295" s="57"/>
      <c r="N295" s="234"/>
    </row>
    <row r="296" spans="11:14" ht="6.75" customHeight="1" thickBot="1">
      <c r="K296" s="301"/>
      <c r="L296" s="301"/>
      <c r="M296" s="301"/>
      <c r="N296" s="302"/>
    </row>
    <row r="297" spans="1:14" s="305" customFormat="1" ht="18.75" thickBot="1">
      <c r="A297" s="306"/>
      <c r="B297" s="586" t="s">
        <v>335</v>
      </c>
      <c r="C297" s="587"/>
      <c r="D297" s="587"/>
      <c r="E297" s="587"/>
      <c r="F297" s="587"/>
      <c r="G297" s="587"/>
      <c r="H297" s="587"/>
      <c r="I297" s="588"/>
      <c r="K297" s="311"/>
      <c r="L297" s="311"/>
      <c r="M297" s="311"/>
      <c r="N297" s="312"/>
    </row>
    <row r="299" spans="2:14" ht="15" customHeight="1">
      <c r="B299" s="580">
        <f>IF($B$279="Экспертное заключение ГОТОВО к печати"," Печать ЭЗ: меню Файл-Печать   или    комбинация клавиш  CTRL+P. ","")</f>
      </c>
      <c r="C299" s="580"/>
      <c r="D299" s="580"/>
      <c r="E299" s="580"/>
      <c r="F299" s="580"/>
      <c r="G299" s="580"/>
      <c r="H299" s="580"/>
      <c r="I299" s="580"/>
      <c r="K299" s="307"/>
      <c r="L299" s="307"/>
      <c r="M299" s="307"/>
      <c r="N299" s="308"/>
    </row>
    <row r="300" spans="2:9" ht="15" customHeight="1">
      <c r="B300" s="194"/>
      <c r="C300" s="584">
        <f>IF($B$279="Экспертное заключение ГОТОВО к печати"," Рекомендуется перед печатью выполнить Предварительный просмотр   (меню Файл)","")</f>
      </c>
      <c r="D300" s="584"/>
      <c r="E300" s="584"/>
      <c r="F300" s="584"/>
      <c r="G300" s="584"/>
      <c r="H300" s="584"/>
      <c r="I300" s="584"/>
    </row>
    <row r="301" spans="2:9" ht="15" customHeight="1">
      <c r="B301" s="313"/>
      <c r="C301" s="584"/>
      <c r="D301" s="584"/>
      <c r="E301" s="584"/>
      <c r="F301" s="584"/>
      <c r="G301" s="584"/>
      <c r="H301" s="584"/>
      <c r="I301" s="584"/>
    </row>
    <row r="302" spans="2:9" ht="15">
      <c r="B302" s="313"/>
      <c r="C302" s="313"/>
      <c r="D302" s="313"/>
      <c r="E302" s="313"/>
      <c r="F302" s="313"/>
      <c r="G302" s="313"/>
      <c r="H302" s="313"/>
      <c r="I302" s="313"/>
    </row>
  </sheetData>
  <sheetProtection password="CF6E" sheet="1" objects="1" scenarios="1"/>
  <mergeCells count="347">
    <mergeCell ref="D233:D236"/>
    <mergeCell ref="B283:D283"/>
    <mergeCell ref="B284:D284"/>
    <mergeCell ref="D268:E268"/>
    <mergeCell ref="A251:C252"/>
    <mergeCell ref="B246:G246"/>
    <mergeCell ref="B243:E243"/>
    <mergeCell ref="G237:G238"/>
    <mergeCell ref="F257:I257"/>
    <mergeCell ref="F253:I253"/>
    <mergeCell ref="B161:C163"/>
    <mergeCell ref="A159:A160"/>
    <mergeCell ref="A206:A208"/>
    <mergeCell ref="A147:A149"/>
    <mergeCell ref="B147:C149"/>
    <mergeCell ref="A153:A155"/>
    <mergeCell ref="B198:C200"/>
    <mergeCell ref="B206:C208"/>
    <mergeCell ref="B172:C176"/>
    <mergeCell ref="B185:C187"/>
    <mergeCell ref="A218:A220"/>
    <mergeCell ref="B218:C220"/>
    <mergeCell ref="D218:D220"/>
    <mergeCell ref="F218:G218"/>
    <mergeCell ref="D206:D208"/>
    <mergeCell ref="D203:D205"/>
    <mergeCell ref="A133:A135"/>
    <mergeCell ref="A156:A158"/>
    <mergeCell ref="B156:C158"/>
    <mergeCell ref="A164:A166"/>
    <mergeCell ref="A161:A163"/>
    <mergeCell ref="D144:D146"/>
    <mergeCell ref="A136:A143"/>
    <mergeCell ref="B136:C137"/>
    <mergeCell ref="F203:G203"/>
    <mergeCell ref="B203:C205"/>
    <mergeCell ref="A203:A205"/>
    <mergeCell ref="B164:C166"/>
    <mergeCell ref="A201:A202"/>
    <mergeCell ref="F165:F166"/>
    <mergeCell ref="G165:G166"/>
    <mergeCell ref="A177:A179"/>
    <mergeCell ref="B169:C171"/>
    <mergeCell ref="D177:E179"/>
    <mergeCell ref="B138:C141"/>
    <mergeCell ref="B153:C155"/>
    <mergeCell ref="B151:C151"/>
    <mergeCell ref="A144:A146"/>
    <mergeCell ref="B144:C146"/>
    <mergeCell ref="B152:C152"/>
    <mergeCell ref="B133:C135"/>
    <mergeCell ref="D133:D135"/>
    <mergeCell ref="B100:C100"/>
    <mergeCell ref="A103:A105"/>
    <mergeCell ref="B103:C105"/>
    <mergeCell ref="D103:D105"/>
    <mergeCell ref="A124:A132"/>
    <mergeCell ref="B124:C132"/>
    <mergeCell ref="A91:A102"/>
    <mergeCell ref="A115:A123"/>
    <mergeCell ref="A66:A68"/>
    <mergeCell ref="H37:H40"/>
    <mergeCell ref="I45:I48"/>
    <mergeCell ref="I53:I56"/>
    <mergeCell ref="I49:I52"/>
    <mergeCell ref="H49:H52"/>
    <mergeCell ref="H45:H48"/>
    <mergeCell ref="I41:I44"/>
    <mergeCell ref="A53:A56"/>
    <mergeCell ref="B53:F56"/>
    <mergeCell ref="G53:G56"/>
    <mergeCell ref="H53:H56"/>
    <mergeCell ref="A69:A70"/>
    <mergeCell ref="B69:I70"/>
    <mergeCell ref="I89:I90"/>
    <mergeCell ref="B115:C123"/>
    <mergeCell ref="G89:G90"/>
    <mergeCell ref="A71:A81"/>
    <mergeCell ref="E89:E90"/>
    <mergeCell ref="H89:H90"/>
    <mergeCell ref="D82:D90"/>
    <mergeCell ref="E82:E88"/>
    <mergeCell ref="C10:I11"/>
    <mergeCell ref="D124:D132"/>
    <mergeCell ref="E124:E130"/>
    <mergeCell ref="E91:E100"/>
    <mergeCell ref="E103:I103"/>
    <mergeCell ref="E104:I104"/>
    <mergeCell ref="E101:E102"/>
    <mergeCell ref="I101:I102"/>
    <mergeCell ref="F101:F102"/>
    <mergeCell ref="G101:G102"/>
    <mergeCell ref="A224:A226"/>
    <mergeCell ref="B224:C226"/>
    <mergeCell ref="F207:G208"/>
    <mergeCell ref="D136:D143"/>
    <mergeCell ref="D153:D155"/>
    <mergeCell ref="F155:G155"/>
    <mergeCell ref="E153:I153"/>
    <mergeCell ref="H200:I200"/>
    <mergeCell ref="F200:G200"/>
    <mergeCell ref="E199:I199"/>
    <mergeCell ref="A221:A223"/>
    <mergeCell ref="B49:F52"/>
    <mergeCell ref="I37:I40"/>
    <mergeCell ref="G49:G52"/>
    <mergeCell ref="A198:A200"/>
    <mergeCell ref="F142:F143"/>
    <mergeCell ref="G142:G143"/>
    <mergeCell ref="G131:G132"/>
    <mergeCell ref="B37:F40"/>
    <mergeCell ref="D91:D102"/>
    <mergeCell ref="A227:A229"/>
    <mergeCell ref="B227:C229"/>
    <mergeCell ref="A230:A232"/>
    <mergeCell ref="A233:A238"/>
    <mergeCell ref="B230:C232"/>
    <mergeCell ref="B30:F31"/>
    <mergeCell ref="B32:F36"/>
    <mergeCell ref="B24:I24"/>
    <mergeCell ref="B235:C238"/>
    <mergeCell ref="B221:C223"/>
    <mergeCell ref="G37:G40"/>
    <mergeCell ref="F131:F132"/>
    <mergeCell ref="G122:G123"/>
    <mergeCell ref="E115:E121"/>
    <mergeCell ref="E122:E123"/>
    <mergeCell ref="G15:H15"/>
    <mergeCell ref="G32:I32"/>
    <mergeCell ref="G80:G81"/>
    <mergeCell ref="H80:H81"/>
    <mergeCell ref="I80:I81"/>
    <mergeCell ref="H33:H34"/>
    <mergeCell ref="B59:I60"/>
    <mergeCell ref="D66:D68"/>
    <mergeCell ref="E67:I67"/>
    <mergeCell ref="E237:E238"/>
    <mergeCell ref="H210:I211"/>
    <mergeCell ref="H237:H238"/>
    <mergeCell ref="H221:I221"/>
    <mergeCell ref="I237:I238"/>
    <mergeCell ref="F237:F238"/>
    <mergeCell ref="E210:E211"/>
    <mergeCell ref="F210:G211"/>
    <mergeCell ref="I228:I229"/>
    <mergeCell ref="E224:I224"/>
    <mergeCell ref="A215:A217"/>
    <mergeCell ref="B215:C217"/>
    <mergeCell ref="B233:C234"/>
    <mergeCell ref="H222:I223"/>
    <mergeCell ref="H219:I220"/>
    <mergeCell ref="H218:I218"/>
    <mergeCell ref="E222:E223"/>
    <mergeCell ref="E231:I231"/>
    <mergeCell ref="E230:I230"/>
    <mergeCell ref="H228:H229"/>
    <mergeCell ref="D71:D81"/>
    <mergeCell ref="B58:I58"/>
    <mergeCell ref="E71:E78"/>
    <mergeCell ref="E66:I66"/>
    <mergeCell ref="F80:F81"/>
    <mergeCell ref="E80:E81"/>
    <mergeCell ref="B66:C68"/>
    <mergeCell ref="G30:I30"/>
    <mergeCell ref="G13:I13"/>
    <mergeCell ref="I33:I34"/>
    <mergeCell ref="A14:C14"/>
    <mergeCell ref="A15:D15"/>
    <mergeCell ref="A18:I22"/>
    <mergeCell ref="A30:A36"/>
    <mergeCell ref="B25:I26"/>
    <mergeCell ref="B27:I28"/>
    <mergeCell ref="E15:F15"/>
    <mergeCell ref="A2:I2"/>
    <mergeCell ref="D9:I9"/>
    <mergeCell ref="E16:F16"/>
    <mergeCell ref="A16:D16"/>
    <mergeCell ref="A12:B12"/>
    <mergeCell ref="D13:F13"/>
    <mergeCell ref="C12:I12"/>
    <mergeCell ref="A13:C13"/>
    <mergeCell ref="A9:C9"/>
    <mergeCell ref="A10:B10"/>
    <mergeCell ref="G45:G48"/>
    <mergeCell ref="A49:A52"/>
    <mergeCell ref="A41:A44"/>
    <mergeCell ref="B41:F44"/>
    <mergeCell ref="B45:F48"/>
    <mergeCell ref="A45:A48"/>
    <mergeCell ref="A37:A40"/>
    <mergeCell ref="G31:I31"/>
    <mergeCell ref="E145:I145"/>
    <mergeCell ref="H131:H132"/>
    <mergeCell ref="A82:A90"/>
    <mergeCell ref="B71:C81"/>
    <mergeCell ref="B82:C90"/>
    <mergeCell ref="G41:G44"/>
    <mergeCell ref="H41:H44"/>
    <mergeCell ref="F89:F90"/>
    <mergeCell ref="F148:F149"/>
    <mergeCell ref="G148:G149"/>
    <mergeCell ref="I131:I132"/>
    <mergeCell ref="H101:H102"/>
    <mergeCell ref="H113:H114"/>
    <mergeCell ref="D147:D149"/>
    <mergeCell ref="E133:I133"/>
    <mergeCell ref="E134:I134"/>
    <mergeCell ref="E136:E141"/>
    <mergeCell ref="E142:E143"/>
    <mergeCell ref="H142:H143"/>
    <mergeCell ref="E148:E149"/>
    <mergeCell ref="H148:H149"/>
    <mergeCell ref="I148:I149"/>
    <mergeCell ref="E144:I144"/>
    <mergeCell ref="H155:I155"/>
    <mergeCell ref="E131:E132"/>
    <mergeCell ref="B159:I160"/>
    <mergeCell ref="H157:I158"/>
    <mergeCell ref="D156:D158"/>
    <mergeCell ref="F156:G156"/>
    <mergeCell ref="H156:I156"/>
    <mergeCell ref="E157:E158"/>
    <mergeCell ref="F157:G158"/>
    <mergeCell ref="E154:I154"/>
    <mergeCell ref="E161:I161"/>
    <mergeCell ref="D164:D166"/>
    <mergeCell ref="E165:E166"/>
    <mergeCell ref="H165:H166"/>
    <mergeCell ref="E162:I162"/>
    <mergeCell ref="I165:I166"/>
    <mergeCell ref="D161:D163"/>
    <mergeCell ref="A167:A168"/>
    <mergeCell ref="F175:F176"/>
    <mergeCell ref="F169:I169"/>
    <mergeCell ref="D169:E171"/>
    <mergeCell ref="I175:I176"/>
    <mergeCell ref="A172:A176"/>
    <mergeCell ref="B167:I168"/>
    <mergeCell ref="F170:I170"/>
    <mergeCell ref="H175:H176"/>
    <mergeCell ref="G178:G179"/>
    <mergeCell ref="D185:E187"/>
    <mergeCell ref="F182:I182"/>
    <mergeCell ref="F183:I183"/>
    <mergeCell ref="F186:F187"/>
    <mergeCell ref="D172:E176"/>
    <mergeCell ref="D230:D232"/>
    <mergeCell ref="I142:I143"/>
    <mergeCell ref="B192:I193"/>
    <mergeCell ref="B242:E242"/>
    <mergeCell ref="F241:H241"/>
    <mergeCell ref="H203:I203"/>
    <mergeCell ref="F204:G205"/>
    <mergeCell ref="H204:I205"/>
    <mergeCell ref="B241:E241"/>
    <mergeCell ref="B181:C181"/>
    <mergeCell ref="A3:I5"/>
    <mergeCell ref="B194:I195"/>
    <mergeCell ref="B61:I62"/>
    <mergeCell ref="B63:I64"/>
    <mergeCell ref="I97:I98"/>
    <mergeCell ref="B91:C98"/>
    <mergeCell ref="A185:A187"/>
    <mergeCell ref="A169:A171"/>
    <mergeCell ref="I186:I187"/>
    <mergeCell ref="I178:I179"/>
    <mergeCell ref="L37:M37"/>
    <mergeCell ref="F259:I259"/>
    <mergeCell ref="G186:G187"/>
    <mergeCell ref="E204:E205"/>
    <mergeCell ref="F206:G206"/>
    <mergeCell ref="F113:F114"/>
    <mergeCell ref="G113:G114"/>
    <mergeCell ref="F255:I255"/>
    <mergeCell ref="F209:G209"/>
    <mergeCell ref="G175:G176"/>
    <mergeCell ref="B299:I299"/>
    <mergeCell ref="A274:I277"/>
    <mergeCell ref="B279:I279"/>
    <mergeCell ref="C300:I301"/>
    <mergeCell ref="B288:D288"/>
    <mergeCell ref="B289:D289"/>
    <mergeCell ref="B292:E292"/>
    <mergeCell ref="B295:I295"/>
    <mergeCell ref="B297:I297"/>
    <mergeCell ref="B280:D280"/>
    <mergeCell ref="A106:A114"/>
    <mergeCell ref="B106:C114"/>
    <mergeCell ref="D106:D114"/>
    <mergeCell ref="E106:E112"/>
    <mergeCell ref="E113:E114"/>
    <mergeCell ref="B287:D287"/>
    <mergeCell ref="A266:I266"/>
    <mergeCell ref="B261:E261"/>
    <mergeCell ref="B281:D281"/>
    <mergeCell ref="B282:D282"/>
    <mergeCell ref="B285:D285"/>
    <mergeCell ref="F268:I268"/>
    <mergeCell ref="B286:D286"/>
    <mergeCell ref="F178:F179"/>
    <mergeCell ref="E198:I198"/>
    <mergeCell ref="H178:H179"/>
    <mergeCell ref="B189:I189"/>
    <mergeCell ref="H186:H187"/>
    <mergeCell ref="D198:D200"/>
    <mergeCell ref="B177:C179"/>
    <mergeCell ref="D115:D123"/>
    <mergeCell ref="I113:I114"/>
    <mergeCell ref="F122:F123"/>
    <mergeCell ref="H122:H123"/>
    <mergeCell ref="I122:I123"/>
    <mergeCell ref="A212:A214"/>
    <mergeCell ref="B212:C214"/>
    <mergeCell ref="D212:D214"/>
    <mergeCell ref="F212:G212"/>
    <mergeCell ref="E213:E214"/>
    <mergeCell ref="F213:G214"/>
    <mergeCell ref="H212:I212"/>
    <mergeCell ref="H213:I214"/>
    <mergeCell ref="H209:I209"/>
    <mergeCell ref="B209:C211"/>
    <mergeCell ref="A182:A184"/>
    <mergeCell ref="B182:C184"/>
    <mergeCell ref="D182:E184"/>
    <mergeCell ref="D209:D211"/>
    <mergeCell ref="B190:I191"/>
    <mergeCell ref="A209:A211"/>
    <mergeCell ref="H206:I206"/>
    <mergeCell ref="E207:E208"/>
    <mergeCell ref="H207:I208"/>
    <mergeCell ref="B201:I202"/>
    <mergeCell ref="D227:D229"/>
    <mergeCell ref="E228:E229"/>
    <mergeCell ref="F222:G223"/>
    <mergeCell ref="E219:E220"/>
    <mergeCell ref="F219:G220"/>
    <mergeCell ref="D221:D223"/>
    <mergeCell ref="F221:G221"/>
    <mergeCell ref="F228:F229"/>
    <mergeCell ref="G228:G229"/>
    <mergeCell ref="D224:D226"/>
    <mergeCell ref="E225:I225"/>
    <mergeCell ref="D215:D217"/>
    <mergeCell ref="E215:I215"/>
    <mergeCell ref="E216:I216"/>
    <mergeCell ref="F217:G217"/>
    <mergeCell ref="H217:I217"/>
  </mergeCells>
  <conditionalFormatting sqref="B279:I279">
    <cfRule type="cellIs" priority="2" dxfId="0" operator="equal" stopIfTrue="1">
      <formula>"ЭЗ не готово к печати"</formula>
    </cfRule>
    <cfRule type="cellIs" priority="3" dxfId="5" operator="equal" stopIfTrue="1">
      <formula>"Экспертное заключение ГОТОВО к печати"</formula>
    </cfRule>
  </conditionalFormatting>
  <conditionalFormatting sqref="E252:E260 F262:F264 G261:I264">
    <cfRule type="cellIs" priority="4" dxfId="4" operator="notEqual" stopIfTrue="1">
      <formula>"« __ » ___________  20__ г."</formula>
    </cfRule>
  </conditionalFormatting>
  <conditionalFormatting sqref="F252 F254 F256 F258">
    <cfRule type="cellIs" priority="5" dxfId="2" operator="equal" stopIfTrue="1">
      <formula>"нет данных"</formula>
    </cfRule>
  </conditionalFormatting>
  <conditionalFormatting sqref="E248">
    <cfRule type="cellIs" priority="6" dxfId="2" operator="equal" stopIfTrue="1">
      <formula>"уточните должность"</formula>
    </cfRule>
    <cfRule type="expression" priority="7" dxfId="1" stopIfTrue="1">
      <formula>LEN($E$248)&gt;28</formula>
    </cfRule>
  </conditionalFormatting>
  <conditionalFormatting sqref="G37:G56">
    <cfRule type="cellIs" priority="1" dxfId="0" operator="equal" stopIfTrue="1">
      <formula>"ОШИБКА!"</formula>
    </cfRule>
  </conditionalFormatting>
  <dataValidations count="31">
    <dataValidation allowBlank="1" showInputMessage="1" showErrorMessage="1" promptTitle="Внимание!" prompt="Введите данные на листе &#10;&quot;Общие сведения&quot;" sqref="F267:F271 G258:I258 F255:F260 G252:I252 F254:I254 A261:B264 G256:I256 F262:G264 G261 H261:I264 F252:F253"/>
    <dataValidation type="whole" allowBlank="1" showInputMessage="1" showErrorMessage="1" sqref="K274">
      <formula1>1</formula1>
      <formula2>31</formula2>
    </dataValidation>
    <dataValidation type="list" allowBlank="1" showInputMessage="1" showErrorMessage="1" sqref="M274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274:I277"/>
    <dataValidation allowBlank="1" showInputMessage="1" showErrorMessage="1" promptTitle="Внимание!" prompt="Введите должность на листе&#10;&quot;Общие сведения&quot;" sqref="D248:F248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46"/>
    <dataValidation type="list" allowBlank="1" showInputMessage="1" showErrorMessage="1" sqref="F89:F90 F122:F123 F113:F114 F142:F143 F80:F81 F101:F102 F131:F132 F237">
      <formula1>"10, 20, 30, "</formula1>
    </dataValidation>
    <dataValidation type="list" allowBlank="1" showInputMessage="1" showErrorMessage="1" sqref="G237">
      <formula1>"20, 30, 40, 50, "</formula1>
    </dataValidation>
    <dataValidation type="list" allowBlank="1" showInputMessage="1" showErrorMessage="1" sqref="F219 F222 F210 F213 G178 G186 G175:G176 G165 F204 F207 H228">
      <formula1>"100, "</formula1>
    </dataValidation>
    <dataValidation type="list" allowBlank="1" showInputMessage="1" showErrorMessage="1" sqref="H175 H213:I214 H222:I223 H219:I220 H207:I208 H210:I211 H186 H204:I205 H165 H178">
      <formula1>"200, "</formula1>
    </dataValidation>
    <dataValidation type="list" allowBlank="1" showInputMessage="1" showErrorMessage="1" sqref="I178 I175 I165 I186">
      <formula1>"300, "</formula1>
    </dataValidation>
    <dataValidation type="list" allowBlank="1" showInputMessage="1" showErrorMessage="1" sqref="F165">
      <formula1>"50, "</formula1>
    </dataValidation>
    <dataValidation type="list" allowBlank="1" showInputMessage="1" showErrorMessage="1" sqref="F148 F228:F229">
      <formula1>"10, "</formula1>
    </dataValidation>
    <dataValidation type="list" allowBlank="1" showInputMessage="1" showErrorMessage="1" sqref="G148:H148">
      <formula1>"20, "</formula1>
    </dataValidation>
    <dataValidation type="list" allowBlank="1" showInputMessage="1" showErrorMessage="1" sqref="G142:G143">
      <formula1>"20, 30, 50, "</formula1>
    </dataValidation>
    <dataValidation type="list" allowBlank="1" showInputMessage="1" showErrorMessage="1" sqref="G80:G81 G122:G123 G113:G114 G131:G132 G101:G102 G89:G90">
      <formula1>"30, 40, 50, "</formula1>
    </dataValidation>
    <dataValidation type="list" allowBlank="1" showInputMessage="1" showErrorMessage="1" sqref="H101 H122 H131 H113 H80 H89">
      <formula1>"50, 60, 70, "</formula1>
    </dataValidation>
    <dataValidation type="list" allowBlank="1" showInputMessage="1" showErrorMessage="1" sqref="I80 I89 I113 I101">
      <formula1>"70,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  <dataValidation type="list" allowBlank="1" showInputMessage="1" showErrorMessage="1" sqref="I148:I149">
      <formula1>"10,20,30,40,50,60,70,80,90,100, 110,120,130,140,150,160,170,180,190,200, "</formula1>
    </dataValidation>
    <dataValidation type="list" allowBlank="1" showInputMessage="1" showErrorMessage="1" sqref="I131:I132 I122:I123">
      <formula1>"80, 90, 100, "</formula1>
    </dataValidation>
    <dataValidation type="list" allowBlank="1" showInputMessage="1" showErrorMessage="1" sqref="I228:I229">
      <formula1>"150, "</formula1>
    </dataValidation>
    <dataValidation type="list" allowBlank="1" showInputMessage="1" showErrorMessage="1" sqref="G228:G229">
      <formula1>"40, "</formula1>
    </dataValidation>
    <dataValidation type="list" allowBlank="1" showInputMessage="1" showErrorMessage="1" sqref="I237:I238">
      <formula1>"50, 70, 80, 90,100, "</formula1>
    </dataValidation>
    <dataValidation type="list" allowBlank="1" showInputMessage="1" showErrorMessage="1" sqref="H237:H238">
      <formula1>"30, 50, 60, 70, "</formula1>
    </dataValidation>
    <dataValidation type="list" allowBlank="1" showInputMessage="1" showErrorMessage="1" sqref="H142:H143">
      <formula1>"30, 60, 100, "</formula1>
    </dataValidation>
    <dataValidation type="list" allowBlank="1" showInputMessage="1" showErrorMessage="1" sqref="I142:I143">
      <formula1>"50, 110, 150,  "</formula1>
    </dataValidation>
    <dataValidation type="list" allowBlank="1" showInputMessage="1" showErrorMessage="1" sqref="H157:I158">
      <formula1>"300, 400, 500, "</formula1>
    </dataValidation>
    <dataValidation type="list" allowBlank="1" showInputMessage="1" showErrorMessage="1" sqref="F157:G158">
      <formula1>"100, 150, 200, 250, "</formula1>
    </dataValidation>
  </dataValidations>
  <hyperlinks>
    <hyperlink ref="B295:I295" location="'общие сведения'!B2" tooltip="Щелкните, чтобы перейти по ссылке" display="вернуться на лист 'общие сведения'"/>
    <hyperlink ref="B297:I297" location="ЭЗ!A1" tooltip="Щелкните, чтобы перейти по ссылке" display="в начало Экспертного заключения"/>
    <hyperlink ref="B280" location="'общие сведения'!C17" display="Фамилия, имя, отчество "/>
    <hyperlink ref="B283" location="'общие сведения'!G19" display="Муниципальное образование "/>
    <hyperlink ref="B283:D283" location="'общие сведения'!G21" tooltip="Щелкните, чтобы перейти по ссылке" display="Муниципальное образование "/>
    <hyperlink ref="B281:D281" location="'общие сведения'!C23" tooltip="Щелкните, чтобы перейти по ссылке" display="Место работы"/>
    <hyperlink ref="B282:D282" location="'общие сведения'!C26" tooltip="Щелкните, чтобы перейти по ссылке" display="Должность "/>
    <hyperlink ref="B284:D284" location="'общие сведения'!D34" tooltip="Щелкните, чтобы перейти по ссылке" display="Стаж педагогической работы"/>
    <hyperlink ref="B285:D285" location="'общие сведения'!D35" tooltip="Щелкните, чтобы перейти по ссылке" display="Наличие квалификационной категории"/>
    <hyperlink ref="B286:D286" location="'общие сведения'!I35" tooltip="Щелкните, чтобы перейти по ссылке" display="дата присвоения"/>
    <hyperlink ref="B287:D287" location="'общие сведения'!D37" tooltip="Щелкните, чтобы перейти по ссылке" display="Заявленная квалификационная категория"/>
    <hyperlink ref="B288:D288" location="'общие сведения'!C68" tooltip="Щелкните, чтобы перейти по ссылке" display="Председатель экспертной группы"/>
    <hyperlink ref="E289" location="'общие сведения'!C70" tooltip="Щелкните, чтобы перейти по ссылке" display="1)"/>
    <hyperlink ref="E290" location="'общие сведения'!C72" tooltip="Щелкните, чтобы перейти по ссылке" display="2)"/>
    <hyperlink ref="E291" location="'общие сведения'!C74" tooltip="Щелкните, чтобы перейти по ссылке" display="3)"/>
    <hyperlink ref="B289:D289" location="'общие сведения'!F66" tooltip="Щелкните, чтобы перейти по ссылке" display="Члены экспертной группы:"/>
    <hyperlink ref="B280:D280" location="'общие сведения'!C19" tooltip="Щелкните, чтобы перейти по ссылке" display="Фамилия, имя, отчество "/>
    <hyperlink ref="B292:E292" location="Всего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r:id="rId4"/>
  <headerFooter alignWithMargins="0">
    <oddFooter>&amp;R&amp;P</oddFooter>
  </headerFooter>
  <rowBreaks count="5" manualBreakCount="5">
    <brk id="57" max="8" man="1"/>
    <brk id="102" max="8" man="1"/>
    <brk id="152" max="8" man="1"/>
    <brk id="214" max="8" man="1"/>
    <brk id="239" max="8" man="1"/>
  </rowBreaks>
  <ignoredErrors>
    <ignoredError sqref="F68 F135 F105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С.Е.</cp:lastModifiedBy>
  <cp:lastPrinted>2013-08-24T21:51:30Z</cp:lastPrinted>
  <dcterms:created xsi:type="dcterms:W3CDTF">2012-04-17T12:38:08Z</dcterms:created>
  <dcterms:modified xsi:type="dcterms:W3CDTF">2013-09-19T06:23:20Z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